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7400" windowHeight="1011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48" i="3"/>
  <c r="AK23"/>
  <c r="X23"/>
  <c r="K23"/>
  <c r="AM117" i="1"/>
  <c r="AF116"/>
  <c r="AM106"/>
  <c r="AF105"/>
  <c r="AM95"/>
  <c r="AF94"/>
  <c r="AM84"/>
  <c r="AF83"/>
  <c r="Z117"/>
  <c r="Z106"/>
  <c r="Z95"/>
  <c r="S116"/>
  <c r="S105"/>
  <c r="S94"/>
  <c r="Z84"/>
  <c r="S83"/>
  <c r="M117"/>
  <c r="M106"/>
  <c r="M95"/>
  <c r="G116"/>
  <c r="G105"/>
  <c r="G94"/>
  <c r="M84"/>
  <c r="G83"/>
  <c r="B2" i="2"/>
  <c r="P46" i="1"/>
  <c r="P45"/>
  <c r="P44"/>
  <c r="O75"/>
  <c r="M69"/>
  <c r="H81" i="3" l="1"/>
  <c r="H82"/>
  <c r="H80"/>
  <c r="B3" i="2" l="1"/>
  <c r="AK39" i="3"/>
  <c r="AK36"/>
  <c r="AK33"/>
  <c r="AK31"/>
  <c r="AK28"/>
  <c r="AK25"/>
  <c r="AK70" l="1"/>
  <c r="AK69"/>
  <c r="AK68"/>
  <c r="AK67"/>
  <c r="AK66"/>
  <c r="AK65"/>
  <c r="AK64"/>
  <c r="AK62"/>
  <c r="AK61"/>
  <c r="AK60"/>
  <c r="AK58"/>
  <c r="Y58"/>
  <c r="Z58"/>
  <c r="AA58"/>
  <c r="AB58"/>
  <c r="AC58"/>
  <c r="AD58"/>
  <c r="AE58"/>
  <c r="AF58"/>
  <c r="AG58"/>
  <c r="AH58"/>
  <c r="AI58"/>
  <c r="AJ58"/>
  <c r="Y60"/>
  <c r="Z60"/>
  <c r="AA60"/>
  <c r="AB60"/>
  <c r="AC60"/>
  <c r="AD60"/>
  <c r="AE60"/>
  <c r="AF60"/>
  <c r="AG60"/>
  <c r="AH60"/>
  <c r="AI60"/>
  <c r="AJ60"/>
  <c r="Y61"/>
  <c r="Z61"/>
  <c r="AA61"/>
  <c r="AB61"/>
  <c r="AC61"/>
  <c r="AD61"/>
  <c r="AE61"/>
  <c r="AF61"/>
  <c r="AG61"/>
  <c r="AH61"/>
  <c r="AI61"/>
  <c r="AJ61"/>
  <c r="Y62"/>
  <c r="Z62"/>
  <c r="AA62"/>
  <c r="AB62"/>
  <c r="AC62"/>
  <c r="AD62"/>
  <c r="AE62"/>
  <c r="AF62"/>
  <c r="AG62"/>
  <c r="AH62"/>
  <c r="AI62"/>
  <c r="AJ62"/>
  <c r="AC63"/>
  <c r="Y64"/>
  <c r="Z64"/>
  <c r="AA64"/>
  <c r="AB64"/>
  <c r="AC64"/>
  <c r="AD64"/>
  <c r="AE64"/>
  <c r="AF64"/>
  <c r="AG64"/>
  <c r="AH64"/>
  <c r="AI64"/>
  <c r="AJ64"/>
  <c r="Y65"/>
  <c r="Z65"/>
  <c r="AA65"/>
  <c r="AB65"/>
  <c r="AC65"/>
  <c r="AD65"/>
  <c r="AE65"/>
  <c r="AF65"/>
  <c r="AG65"/>
  <c r="AH65"/>
  <c r="AI65"/>
  <c r="AJ65"/>
  <c r="Y66"/>
  <c r="Z66"/>
  <c r="AA66"/>
  <c r="AB66"/>
  <c r="AC66"/>
  <c r="AD66"/>
  <c r="AE66"/>
  <c r="AF66"/>
  <c r="AG66"/>
  <c r="AH66"/>
  <c r="AI66"/>
  <c r="AJ66"/>
  <c r="Y67"/>
  <c r="Z67"/>
  <c r="AA67"/>
  <c r="AB67"/>
  <c r="AC67"/>
  <c r="AD67"/>
  <c r="AE67"/>
  <c r="AF67"/>
  <c r="AG67"/>
  <c r="AH67"/>
  <c r="AI67"/>
  <c r="AJ67"/>
  <c r="Y69"/>
  <c r="Z69"/>
  <c r="AA69"/>
  <c r="AB69"/>
  <c r="AC69"/>
  <c r="AD69"/>
  <c r="AE69"/>
  <c r="AF69"/>
  <c r="AG69"/>
  <c r="AH69"/>
  <c r="AI69"/>
  <c r="AJ69"/>
  <c r="Y25" l="1"/>
  <c r="Z25"/>
  <c r="AA25"/>
  <c r="AB25"/>
  <c r="AC25"/>
  <c r="AD25"/>
  <c r="AE25"/>
  <c r="AF25"/>
  <c r="AG25"/>
  <c r="AH25"/>
  <c r="AI25"/>
  <c r="AJ25"/>
  <c r="Y28"/>
  <c r="Z28"/>
  <c r="AA28"/>
  <c r="AB28"/>
  <c r="AC28"/>
  <c r="AD28"/>
  <c r="AE28"/>
  <c r="AF28"/>
  <c r="AG28"/>
  <c r="AH28"/>
  <c r="AI28"/>
  <c r="AJ28"/>
  <c r="Y31"/>
  <c r="Z31"/>
  <c r="AA31"/>
  <c r="AB31"/>
  <c r="AC31"/>
  <c r="AD31"/>
  <c r="AE31"/>
  <c r="AF31"/>
  <c r="AG31"/>
  <c r="AH31"/>
  <c r="AI31"/>
  <c r="AJ31"/>
  <c r="AC22" i="2"/>
  <c r="AD22"/>
  <c r="AE22"/>
  <c r="AF22"/>
  <c r="Y24"/>
  <c r="Z24"/>
  <c r="AA24"/>
  <c r="AB24"/>
  <c r="AC24"/>
  <c r="AD24"/>
  <c r="AE24"/>
  <c r="AF24"/>
  <c r="AG24"/>
  <c r="AH24"/>
  <c r="AI24"/>
  <c r="AJ24"/>
  <c r="Y25"/>
  <c r="Z25"/>
  <c r="AA25"/>
  <c r="AB25"/>
  <c r="AC25"/>
  <c r="AD25"/>
  <c r="AE25"/>
  <c r="AF25"/>
  <c r="AG25"/>
  <c r="AH25"/>
  <c r="AI25"/>
  <c r="AJ25"/>
  <c r="AA10"/>
  <c r="AA12" s="1"/>
  <c r="AB10"/>
  <c r="AB12" s="1"/>
  <c r="AC10"/>
  <c r="AD10"/>
  <c r="AD12" s="1"/>
  <c r="AE10"/>
  <c r="AE12" s="1"/>
  <c r="AG10"/>
  <c r="AH10"/>
  <c r="AH12" s="1"/>
  <c r="AJ10"/>
  <c r="AJ12" s="1"/>
  <c r="AG12"/>
  <c r="AC12"/>
  <c r="AA120" i="1"/>
  <c r="AB120"/>
  <c r="AC120"/>
  <c r="AH120"/>
  <c r="AK120"/>
  <c r="AL120"/>
  <c r="AA121"/>
  <c r="AB121"/>
  <c r="AC121"/>
  <c r="AD121"/>
  <c r="AE121"/>
  <c r="AG121"/>
  <c r="AI121"/>
  <c r="AJ121"/>
  <c r="AL121"/>
  <c r="AA122"/>
  <c r="AB122"/>
  <c r="AC122"/>
  <c r="AD122"/>
  <c r="AE122"/>
  <c r="AF122"/>
  <c r="AH122"/>
  <c r="AJ122"/>
  <c r="AK122"/>
  <c r="AC123"/>
  <c r="AD123"/>
  <c r="AE123"/>
  <c r="AF123"/>
  <c r="AG123"/>
  <c r="AI123"/>
  <c r="AK123"/>
  <c r="AL123"/>
  <c r="AC118"/>
  <c r="AA108"/>
  <c r="AE108"/>
  <c r="AF108"/>
  <c r="AG108"/>
  <c r="AH108"/>
  <c r="AI108"/>
  <c r="AA109"/>
  <c r="AB109"/>
  <c r="AC109"/>
  <c r="AF109"/>
  <c r="AG109"/>
  <c r="AH109"/>
  <c r="AI109"/>
  <c r="AK109"/>
  <c r="AL109"/>
  <c r="AA110"/>
  <c r="AB110"/>
  <c r="AC110"/>
  <c r="AD110"/>
  <c r="AE110"/>
  <c r="AF110"/>
  <c r="AG110"/>
  <c r="AH110"/>
  <c r="AI110"/>
  <c r="AJ110"/>
  <c r="AL110"/>
  <c r="AA111"/>
  <c r="AB111"/>
  <c r="AC111"/>
  <c r="AD111"/>
  <c r="AE111"/>
  <c r="AF111"/>
  <c r="AG111"/>
  <c r="AH111"/>
  <c r="AI111"/>
  <c r="AJ111"/>
  <c r="AK111"/>
  <c r="AC112"/>
  <c r="AD112"/>
  <c r="AE112"/>
  <c r="AF112"/>
  <c r="AG112"/>
  <c r="AH112"/>
  <c r="AI112"/>
  <c r="AK112"/>
  <c r="AL112"/>
  <c r="AC107"/>
  <c r="AF107"/>
  <c r="AF113" s="1"/>
  <c r="AG107"/>
  <c r="AH107"/>
  <c r="AI107"/>
  <c r="AJ107"/>
  <c r="AK107"/>
  <c r="AH113"/>
  <c r="AL98"/>
  <c r="AL99"/>
  <c r="AL101"/>
  <c r="AK98"/>
  <c r="AK100"/>
  <c r="AK101"/>
  <c r="AJ99"/>
  <c r="AJ100"/>
  <c r="AI98"/>
  <c r="AI99"/>
  <c r="AI100"/>
  <c r="AI101"/>
  <c r="AH98"/>
  <c r="AH99"/>
  <c r="AH100"/>
  <c r="AH101"/>
  <c r="AG98"/>
  <c r="AG99"/>
  <c r="AG100"/>
  <c r="AG101"/>
  <c r="AF98"/>
  <c r="AF99"/>
  <c r="AF100"/>
  <c r="AF101"/>
  <c r="AE99"/>
  <c r="AE100"/>
  <c r="AE101"/>
  <c r="AD99"/>
  <c r="AD100"/>
  <c r="AD101"/>
  <c r="AC98"/>
  <c r="AC99"/>
  <c r="AC100"/>
  <c r="AC101"/>
  <c r="AB98"/>
  <c r="AB99"/>
  <c r="AB100"/>
  <c r="AF97"/>
  <c r="AG97"/>
  <c r="AH97"/>
  <c r="AI97"/>
  <c r="AA98"/>
  <c r="AA99"/>
  <c r="AA100"/>
  <c r="AF96"/>
  <c r="AG96"/>
  <c r="AH96"/>
  <c r="AH102" s="1"/>
  <c r="AI96"/>
  <c r="AL87"/>
  <c r="AL88"/>
  <c r="AL90"/>
  <c r="AK87"/>
  <c r="AK89"/>
  <c r="AK90"/>
  <c r="AJ88"/>
  <c r="AJ89"/>
  <c r="AI87"/>
  <c r="AI88"/>
  <c r="AI90"/>
  <c r="AH87"/>
  <c r="AH89"/>
  <c r="AG88"/>
  <c r="AG90"/>
  <c r="AF87"/>
  <c r="AF89"/>
  <c r="AF90"/>
  <c r="AE88"/>
  <c r="AE89"/>
  <c r="AE90"/>
  <c r="AD87"/>
  <c r="AD88"/>
  <c r="AD89"/>
  <c r="AD90"/>
  <c r="AC87"/>
  <c r="AC88"/>
  <c r="AC89"/>
  <c r="AC90"/>
  <c r="AB87"/>
  <c r="AB88"/>
  <c r="AB89"/>
  <c r="AA87"/>
  <c r="AA88"/>
  <c r="AA89"/>
  <c r="AC86"/>
  <c r="AG85"/>
  <c r="AK85"/>
  <c r="AL85"/>
  <c r="AK36"/>
  <c r="AE36"/>
  <c r="AL36"/>
  <c r="AI35"/>
  <c r="AE35"/>
  <c r="AA35"/>
  <c r="AL34"/>
  <c r="AK34"/>
  <c r="AJ34"/>
  <c r="AI34"/>
  <c r="AH34"/>
  <c r="AG34"/>
  <c r="AF34"/>
  <c r="AE34"/>
  <c r="AD34"/>
  <c r="AC34"/>
  <c r="AB34"/>
  <c r="AA34"/>
  <c r="E29"/>
  <c r="E30" s="1"/>
  <c r="AF36" s="1"/>
  <c r="AG36" s="1"/>
  <c r="AM37"/>
  <c r="AI102"/>
  <c r="AA69"/>
  <c r="AB69"/>
  <c r="AC69"/>
  <c r="AD69"/>
  <c r="AE69"/>
  <c r="AJ69"/>
  <c r="AK69"/>
  <c r="AL69"/>
  <c r="B55" i="3"/>
  <c r="B56"/>
  <c r="C53"/>
  <c r="C55"/>
  <c r="C56"/>
  <c r="D53"/>
  <c r="D55"/>
  <c r="D56"/>
  <c r="E53"/>
  <c r="E55"/>
  <c r="E56"/>
  <c r="F53"/>
  <c r="F55"/>
  <c r="F56"/>
  <c r="G55"/>
  <c r="G56"/>
  <c r="H55"/>
  <c r="H56"/>
  <c r="I55"/>
  <c r="I56"/>
  <c r="J55"/>
  <c r="J56"/>
  <c r="L55"/>
  <c r="Y55" s="1"/>
  <c r="L56"/>
  <c r="Y56" s="1"/>
  <c r="M55"/>
  <c r="Z55" s="1"/>
  <c r="M56"/>
  <c r="Z56" s="1"/>
  <c r="N55"/>
  <c r="AA55" s="1"/>
  <c r="N56"/>
  <c r="AA56" s="1"/>
  <c r="O55"/>
  <c r="AB55" s="1"/>
  <c r="O56"/>
  <c r="AB56" s="1"/>
  <c r="P53"/>
  <c r="AC53" s="1"/>
  <c r="P55"/>
  <c r="AC55" s="1"/>
  <c r="P56"/>
  <c r="AC56" s="1"/>
  <c r="Q53"/>
  <c r="AD53" s="1"/>
  <c r="Q55"/>
  <c r="AD55" s="1"/>
  <c r="Q56"/>
  <c r="AD56" s="1"/>
  <c r="R53"/>
  <c r="AE53" s="1"/>
  <c r="R55"/>
  <c r="AE55" s="1"/>
  <c r="R56"/>
  <c r="AE56" s="1"/>
  <c r="S53"/>
  <c r="AF53" s="1"/>
  <c r="S55"/>
  <c r="AF55" s="1"/>
  <c r="S56"/>
  <c r="AF56" s="1"/>
  <c r="T55"/>
  <c r="AG55" s="1"/>
  <c r="T56"/>
  <c r="AG56" s="1"/>
  <c r="U55"/>
  <c r="AH55" s="1"/>
  <c r="U56"/>
  <c r="AH56" s="1"/>
  <c r="V55"/>
  <c r="AI55" s="1"/>
  <c r="V56"/>
  <c r="AI56" s="1"/>
  <c r="W55"/>
  <c r="AJ55" s="1"/>
  <c r="W56"/>
  <c r="AJ56" s="1"/>
  <c r="W58"/>
  <c r="V58"/>
  <c r="U58"/>
  <c r="T58"/>
  <c r="S58"/>
  <c r="R58"/>
  <c r="Q58"/>
  <c r="P58"/>
  <c r="O58"/>
  <c r="N58"/>
  <c r="M58"/>
  <c r="L58"/>
  <c r="J58"/>
  <c r="I58"/>
  <c r="H58"/>
  <c r="G58"/>
  <c r="F58"/>
  <c r="E58"/>
  <c r="D58"/>
  <c r="C58"/>
  <c r="B58"/>
  <c r="W68"/>
  <c r="AJ68" s="1"/>
  <c r="V68"/>
  <c r="AI68" s="1"/>
  <c r="U68"/>
  <c r="AH68" s="1"/>
  <c r="T68"/>
  <c r="AG68" s="1"/>
  <c r="S68"/>
  <c r="AF68" s="1"/>
  <c r="R68"/>
  <c r="AE68" s="1"/>
  <c r="Q68"/>
  <c r="AD68" s="1"/>
  <c r="P68"/>
  <c r="AC68" s="1"/>
  <c r="O68"/>
  <c r="AB68" s="1"/>
  <c r="N68"/>
  <c r="AA68" s="1"/>
  <c r="M68"/>
  <c r="Z68" s="1"/>
  <c r="L68"/>
  <c r="Y68" s="1"/>
  <c r="I68"/>
  <c r="H68"/>
  <c r="G68"/>
  <c r="F68"/>
  <c r="E68"/>
  <c r="D68"/>
  <c r="C68"/>
  <c r="B68"/>
  <c r="X69"/>
  <c r="J69"/>
  <c r="J68" s="1"/>
  <c r="X67"/>
  <c r="X66"/>
  <c r="W65"/>
  <c r="V65"/>
  <c r="V70" s="1"/>
  <c r="AI70" s="1"/>
  <c r="U65"/>
  <c r="U70" s="1"/>
  <c r="AH70" s="1"/>
  <c r="T65"/>
  <c r="S65"/>
  <c r="R65"/>
  <c r="R70" s="1"/>
  <c r="AE70" s="1"/>
  <c r="Q65"/>
  <c r="Q70" s="1"/>
  <c r="AD70" s="1"/>
  <c r="P65"/>
  <c r="O65"/>
  <c r="O70" s="1"/>
  <c r="AB70" s="1"/>
  <c r="N65"/>
  <c r="N70" s="1"/>
  <c r="AA70" s="1"/>
  <c r="M65"/>
  <c r="M70" s="1"/>
  <c r="Z70" s="1"/>
  <c r="L65"/>
  <c r="K67"/>
  <c r="K66"/>
  <c r="J65"/>
  <c r="I65"/>
  <c r="H65"/>
  <c r="G65"/>
  <c r="F65"/>
  <c r="E65"/>
  <c r="D65"/>
  <c r="C65"/>
  <c r="B65"/>
  <c r="J64"/>
  <c r="I64"/>
  <c r="H61"/>
  <c r="H60" s="1"/>
  <c r="H64" s="1"/>
  <c r="G61"/>
  <c r="G60" s="1"/>
  <c r="G64" s="1"/>
  <c r="F61"/>
  <c r="F60" s="1"/>
  <c r="F64" s="1"/>
  <c r="E61"/>
  <c r="E60" s="1"/>
  <c r="E64" s="1"/>
  <c r="D61"/>
  <c r="D60" s="1"/>
  <c r="D64" s="1"/>
  <c r="C61"/>
  <c r="C60" s="1"/>
  <c r="C64" s="1"/>
  <c r="X36"/>
  <c r="W36"/>
  <c r="AJ36" s="1"/>
  <c r="V36"/>
  <c r="AI36" s="1"/>
  <c r="U36"/>
  <c r="AH36" s="1"/>
  <c r="T36"/>
  <c r="T39" s="1"/>
  <c r="AG39" s="1"/>
  <c r="S36"/>
  <c r="AF36" s="1"/>
  <c r="R36"/>
  <c r="AE36" s="1"/>
  <c r="Q36"/>
  <c r="AD36" s="1"/>
  <c r="P36"/>
  <c r="AC36" s="1"/>
  <c r="O36"/>
  <c r="AB36" s="1"/>
  <c r="N36"/>
  <c r="AA36" s="1"/>
  <c r="M36"/>
  <c r="Z36" s="1"/>
  <c r="L36"/>
  <c r="Y36" s="1"/>
  <c r="K36"/>
  <c r="J36"/>
  <c r="I36"/>
  <c r="H36"/>
  <c r="G36"/>
  <c r="F36"/>
  <c r="E36"/>
  <c r="D36"/>
  <c r="C36"/>
  <c r="B36"/>
  <c r="X33"/>
  <c r="W33"/>
  <c r="AJ33" s="1"/>
  <c r="V33"/>
  <c r="AI33" s="1"/>
  <c r="U33"/>
  <c r="AH33" s="1"/>
  <c r="T33"/>
  <c r="AG33" s="1"/>
  <c r="S33"/>
  <c r="AF33" s="1"/>
  <c r="R33"/>
  <c r="AE33" s="1"/>
  <c r="Q33"/>
  <c r="AD33" s="1"/>
  <c r="P33"/>
  <c r="AC33" s="1"/>
  <c r="O33"/>
  <c r="AB33" s="1"/>
  <c r="N33"/>
  <c r="AA33" s="1"/>
  <c r="M33"/>
  <c r="Z33" s="1"/>
  <c r="L33"/>
  <c r="Y33" s="1"/>
  <c r="K33"/>
  <c r="J33"/>
  <c r="I33"/>
  <c r="H33"/>
  <c r="G33"/>
  <c r="F33"/>
  <c r="E33"/>
  <c r="D33"/>
  <c r="C33"/>
  <c r="B33"/>
  <c r="O22" i="2"/>
  <c r="O53" i="3" s="1"/>
  <c r="AB53" s="1"/>
  <c r="N22" i="2"/>
  <c r="N53" i="3" s="1"/>
  <c r="AA53" s="1"/>
  <c r="M22" i="2"/>
  <c r="M53" i="3" s="1"/>
  <c r="Z53" s="1"/>
  <c r="L22" i="2"/>
  <c r="L53" i="3" s="1"/>
  <c r="Y53" s="1"/>
  <c r="J22" i="2"/>
  <c r="J53" i="3" s="1"/>
  <c r="I22" i="2"/>
  <c r="I53" i="3" s="1"/>
  <c r="H22" i="2"/>
  <c r="H53" i="3" s="1"/>
  <c r="G22" i="2"/>
  <c r="G53" i="3" s="1"/>
  <c r="B22" i="2"/>
  <c r="B53" i="3" s="1"/>
  <c r="D7"/>
  <c r="D11"/>
  <c r="D10"/>
  <c r="D9"/>
  <c r="D8"/>
  <c r="N34" i="1"/>
  <c r="D29"/>
  <c r="N35" s="1"/>
  <c r="N108" s="1"/>
  <c r="D30"/>
  <c r="S36" s="1"/>
  <c r="O34"/>
  <c r="O96" s="1"/>
  <c r="AB96" s="1"/>
  <c r="O36"/>
  <c r="O79" s="1"/>
  <c r="AB79" s="1"/>
  <c r="P34"/>
  <c r="P35"/>
  <c r="P75" s="1"/>
  <c r="AC75" s="1"/>
  <c r="Q34"/>
  <c r="Q74" s="1"/>
  <c r="AD74" s="1"/>
  <c r="Q36"/>
  <c r="Q76" s="1"/>
  <c r="AD76" s="1"/>
  <c r="R34"/>
  <c r="R35"/>
  <c r="R75" s="1"/>
  <c r="AE75" s="1"/>
  <c r="R36"/>
  <c r="R37" s="1"/>
  <c r="S34"/>
  <c r="S37" s="1"/>
  <c r="S35"/>
  <c r="S75"/>
  <c r="AF75" s="1"/>
  <c r="S76"/>
  <c r="AF76" s="1"/>
  <c r="T34"/>
  <c r="T74"/>
  <c r="AG74" s="1"/>
  <c r="T35"/>
  <c r="T86" s="1"/>
  <c r="AG86" s="1"/>
  <c r="U34"/>
  <c r="U74"/>
  <c r="U35"/>
  <c r="U86" s="1"/>
  <c r="AH86" s="1"/>
  <c r="V34"/>
  <c r="V74"/>
  <c r="V35"/>
  <c r="V75" s="1"/>
  <c r="AI75" s="1"/>
  <c r="W34"/>
  <c r="W74"/>
  <c r="W35"/>
  <c r="W97" s="1"/>
  <c r="AJ97" s="1"/>
  <c r="X34"/>
  <c r="X74"/>
  <c r="X35"/>
  <c r="X75" s="1"/>
  <c r="AK75" s="1"/>
  <c r="Y34"/>
  <c r="Y74" s="1"/>
  <c r="AL74" s="1"/>
  <c r="Y35"/>
  <c r="Y97" s="1"/>
  <c r="AL97" s="1"/>
  <c r="O101"/>
  <c r="AB101" s="1"/>
  <c r="P97"/>
  <c r="AC97" s="1"/>
  <c r="W96"/>
  <c r="AJ96" s="1"/>
  <c r="X96"/>
  <c r="AK96" s="1"/>
  <c r="N86"/>
  <c r="AA86" s="1"/>
  <c r="O90"/>
  <c r="AB90" s="1"/>
  <c r="P86"/>
  <c r="R86"/>
  <c r="AE86" s="1"/>
  <c r="S85"/>
  <c r="AF85" s="1"/>
  <c r="S86"/>
  <c r="AF86" s="1"/>
  <c r="T85"/>
  <c r="U85"/>
  <c r="AH85" s="1"/>
  <c r="V85"/>
  <c r="AI85" s="1"/>
  <c r="W85"/>
  <c r="AJ85" s="1"/>
  <c r="W86"/>
  <c r="AJ86" s="1"/>
  <c r="X85"/>
  <c r="Y85"/>
  <c r="D34"/>
  <c r="D118" s="1"/>
  <c r="C29"/>
  <c r="B14" i="3" s="1"/>
  <c r="D35" i="1"/>
  <c r="D119" s="1"/>
  <c r="D124" s="1"/>
  <c r="E34"/>
  <c r="E107" s="1"/>
  <c r="E113" s="1"/>
  <c r="E35"/>
  <c r="E75"/>
  <c r="F34"/>
  <c r="F63" s="1"/>
  <c r="M63" s="1"/>
  <c r="F35"/>
  <c r="F75" s="1"/>
  <c r="C30"/>
  <c r="B4" i="2" s="1"/>
  <c r="G34" i="1"/>
  <c r="G74" s="1"/>
  <c r="G35"/>
  <c r="G75" s="1"/>
  <c r="G36"/>
  <c r="G76" s="1"/>
  <c r="H34"/>
  <c r="H74"/>
  <c r="H35"/>
  <c r="H86" s="1"/>
  <c r="I34"/>
  <c r="I74" s="1"/>
  <c r="I35"/>
  <c r="I119" s="1"/>
  <c r="J34"/>
  <c r="J74" s="1"/>
  <c r="J35"/>
  <c r="J36"/>
  <c r="K34"/>
  <c r="K96" s="1"/>
  <c r="K35"/>
  <c r="K75" s="1"/>
  <c r="K36"/>
  <c r="K121" s="1"/>
  <c r="L34"/>
  <c r="L74"/>
  <c r="L35"/>
  <c r="L108" s="1"/>
  <c r="L36"/>
  <c r="L100" s="1"/>
  <c r="L78"/>
  <c r="D96"/>
  <c r="E97"/>
  <c r="J97"/>
  <c r="J98"/>
  <c r="M98" s="1"/>
  <c r="L96"/>
  <c r="D86"/>
  <c r="E85"/>
  <c r="E91" s="1"/>
  <c r="C21" i="2" s="1"/>
  <c r="E86" i="1"/>
  <c r="G85"/>
  <c r="G87"/>
  <c r="H85"/>
  <c r="I85"/>
  <c r="J85"/>
  <c r="L89"/>
  <c r="K24" i="2"/>
  <c r="W22"/>
  <c r="W53" i="3" s="1"/>
  <c r="AJ53" s="1"/>
  <c r="V22" i="2"/>
  <c r="V53" i="3" s="1"/>
  <c r="AI53" s="1"/>
  <c r="U22" i="2"/>
  <c r="U53" i="3" s="1"/>
  <c r="AH53" s="1"/>
  <c r="T22" i="2"/>
  <c r="T53" i="3" s="1"/>
  <c r="AG53" s="1"/>
  <c r="X25" i="2"/>
  <c r="W23"/>
  <c r="W54" i="3" s="1"/>
  <c r="AJ54" s="1"/>
  <c r="V23" i="2"/>
  <c r="V54" i="3" s="1"/>
  <c r="AI54" s="1"/>
  <c r="U23" i="2"/>
  <c r="U54" i="3" s="1"/>
  <c r="AH54" s="1"/>
  <c r="P23" i="2"/>
  <c r="P54" i="3" s="1"/>
  <c r="AC54" s="1"/>
  <c r="O23" i="2"/>
  <c r="AB23" s="1"/>
  <c r="N23"/>
  <c r="N54" i="3" s="1"/>
  <c r="AA54" s="1"/>
  <c r="M23" i="2"/>
  <c r="M54" i="3" s="1"/>
  <c r="Z54" s="1"/>
  <c r="L23" i="2"/>
  <c r="L54" i="3" s="1"/>
  <c r="Y54" s="1"/>
  <c r="J23" i="2"/>
  <c r="J54" i="3" s="1"/>
  <c r="I23" i="2"/>
  <c r="I54" i="3" s="1"/>
  <c r="H23" i="2"/>
  <c r="H54" i="3" s="1"/>
  <c r="C23" i="2"/>
  <c r="C54" i="3" s="1"/>
  <c r="B23" i="2"/>
  <c r="B54" i="3" s="1"/>
  <c r="K25" i="2"/>
  <c r="T23"/>
  <c r="T54" i="3" s="1"/>
  <c r="AG54" s="1"/>
  <c r="S23" i="2"/>
  <c r="S54" i="3" s="1"/>
  <c r="AF54" s="1"/>
  <c r="R23" i="2"/>
  <c r="R54" i="3" s="1"/>
  <c r="AE54" s="1"/>
  <c r="Q23" i="2"/>
  <c r="Q54" i="3" s="1"/>
  <c r="AD54" s="1"/>
  <c r="G23" i="2"/>
  <c r="G54" i="3" s="1"/>
  <c r="F23" i="2"/>
  <c r="F54" i="3" s="1"/>
  <c r="E23" i="2"/>
  <c r="E54" i="3" s="1"/>
  <c r="D23" i="2"/>
  <c r="D54" i="3" s="1"/>
  <c r="J12" i="2"/>
  <c r="J26" i="3" s="1"/>
  <c r="H12" i="2"/>
  <c r="H26" i="3" s="1"/>
  <c r="G12" i="2"/>
  <c r="G26" i="3" s="1"/>
  <c r="F12" i="2"/>
  <c r="F26" i="3" s="1"/>
  <c r="E12" i="2"/>
  <c r="E26" i="3" s="1"/>
  <c r="D12" i="2"/>
  <c r="D26" i="3" s="1"/>
  <c r="C12" i="2"/>
  <c r="C26" i="3" s="1"/>
  <c r="B12" i="2"/>
  <c r="W12"/>
  <c r="W26" i="3" s="1"/>
  <c r="AJ26" s="1"/>
  <c r="U12" i="2"/>
  <c r="U26" i="3" s="1"/>
  <c r="AH26" s="1"/>
  <c r="T12" i="2"/>
  <c r="T26" i="3" s="1"/>
  <c r="AG26" s="1"/>
  <c r="R12" i="2"/>
  <c r="R26" i="3" s="1"/>
  <c r="AE26" s="1"/>
  <c r="Q12" i="2"/>
  <c r="Q26" i="3" s="1"/>
  <c r="AD26" s="1"/>
  <c r="P12" i="2"/>
  <c r="P26" i="3" s="1"/>
  <c r="AC26" s="1"/>
  <c r="O12" i="2"/>
  <c r="O26" i="3" s="1"/>
  <c r="AB26" s="1"/>
  <c r="N12" i="2"/>
  <c r="N26" i="3" s="1"/>
  <c r="AA26" s="1"/>
  <c r="P118" i="1"/>
  <c r="S118"/>
  <c r="AF118" s="1"/>
  <c r="T118"/>
  <c r="AG118" s="1"/>
  <c r="U118"/>
  <c r="AH118" s="1"/>
  <c r="V118"/>
  <c r="AI118" s="1"/>
  <c r="W118"/>
  <c r="AJ118" s="1"/>
  <c r="X118"/>
  <c r="AK118" s="1"/>
  <c r="Y118"/>
  <c r="AL118" s="1"/>
  <c r="P119"/>
  <c r="P124" s="1"/>
  <c r="R119"/>
  <c r="AE119" s="1"/>
  <c r="S119"/>
  <c r="AF119" s="1"/>
  <c r="V119"/>
  <c r="AI119" s="1"/>
  <c r="R120"/>
  <c r="AE120" s="1"/>
  <c r="S121"/>
  <c r="AF121" s="1"/>
  <c r="E118"/>
  <c r="E124" s="1"/>
  <c r="G118"/>
  <c r="H118"/>
  <c r="I118"/>
  <c r="J118"/>
  <c r="K118"/>
  <c r="E119"/>
  <c r="G119"/>
  <c r="L119"/>
  <c r="G120"/>
  <c r="L122"/>
  <c r="J123"/>
  <c r="M123" s="1"/>
  <c r="N107"/>
  <c r="AA107" s="1"/>
  <c r="P107"/>
  <c r="Q107"/>
  <c r="AD107" s="1"/>
  <c r="R107"/>
  <c r="W107"/>
  <c r="X107"/>
  <c r="Y107"/>
  <c r="AL107" s="1"/>
  <c r="P108"/>
  <c r="AC108" s="1"/>
  <c r="AC113" s="1"/>
  <c r="R108"/>
  <c r="W108"/>
  <c r="AJ108" s="1"/>
  <c r="R109"/>
  <c r="AE109" s="1"/>
  <c r="O112"/>
  <c r="AB112" s="1"/>
  <c r="J107"/>
  <c r="K107"/>
  <c r="L107"/>
  <c r="D108"/>
  <c r="E108"/>
  <c r="J108"/>
  <c r="K110"/>
  <c r="J112"/>
  <c r="M112" s="1"/>
  <c r="S64"/>
  <c r="AF64" s="1"/>
  <c r="S65"/>
  <c r="AF65" s="1"/>
  <c r="S66"/>
  <c r="AF66" s="1"/>
  <c r="T63"/>
  <c r="AG63" s="1"/>
  <c r="T64"/>
  <c r="AG64" s="1"/>
  <c r="U63"/>
  <c r="AH63" s="1"/>
  <c r="V63"/>
  <c r="AI63" s="1"/>
  <c r="V64"/>
  <c r="AI64" s="1"/>
  <c r="G63"/>
  <c r="G64"/>
  <c r="G65"/>
  <c r="H63"/>
  <c r="I63"/>
  <c r="F113"/>
  <c r="G113"/>
  <c r="H113"/>
  <c r="I113"/>
  <c r="V113"/>
  <c r="U113"/>
  <c r="T113"/>
  <c r="S113"/>
  <c r="P113"/>
  <c r="M100"/>
  <c r="V102"/>
  <c r="T20" i="2" s="1"/>
  <c r="AG20" s="1"/>
  <c r="U102" i="1"/>
  <c r="S20" i="2" s="1"/>
  <c r="AF20" s="1"/>
  <c r="T102" i="1"/>
  <c r="I102"/>
  <c r="G20" i="2" s="1"/>
  <c r="H102" i="1"/>
  <c r="G102"/>
  <c r="F102"/>
  <c r="D20" i="2" s="1"/>
  <c r="Z37" i="1"/>
  <c r="M37"/>
  <c r="M68"/>
  <c r="Y69"/>
  <c r="X69"/>
  <c r="W69"/>
  <c r="R69"/>
  <c r="Q69"/>
  <c r="P69"/>
  <c r="O69"/>
  <c r="N69"/>
  <c r="L69"/>
  <c r="K69"/>
  <c r="J69"/>
  <c r="E69"/>
  <c r="D69"/>
  <c r="Q20" i="2"/>
  <c r="AD20" s="1"/>
  <c r="D37" i="1"/>
  <c r="P37"/>
  <c r="K37"/>
  <c r="AK25" i="2" l="1"/>
  <c r="O54" i="3"/>
  <c r="AB54" s="1"/>
  <c r="AK54" s="1"/>
  <c r="AG23" i="2"/>
  <c r="AC23"/>
  <c r="Y23"/>
  <c r="AG22"/>
  <c r="Y22"/>
  <c r="K23"/>
  <c r="AH23"/>
  <c r="AD23"/>
  <c r="Z23"/>
  <c r="AH22"/>
  <c r="Z22"/>
  <c r="AI23"/>
  <c r="AE23"/>
  <c r="AA23"/>
  <c r="AI22"/>
  <c r="AA22"/>
  <c r="AJ23"/>
  <c r="AF23"/>
  <c r="AJ22"/>
  <c r="AB22"/>
  <c r="K113" i="1"/>
  <c r="L37"/>
  <c r="E37"/>
  <c r="X108"/>
  <c r="AK108" s="1"/>
  <c r="G124"/>
  <c r="O118"/>
  <c r="AB118" s="1"/>
  <c r="E96"/>
  <c r="E102" s="1"/>
  <c r="C20" i="2" s="1"/>
  <c r="H75" i="1"/>
  <c r="E74"/>
  <c r="E80" s="1"/>
  <c r="C19" i="2" s="1"/>
  <c r="W75" i="1"/>
  <c r="AJ75" s="1"/>
  <c r="U75"/>
  <c r="AH75" s="1"/>
  <c r="AD35"/>
  <c r="AH35"/>
  <c r="AH37" s="1"/>
  <c r="AL35"/>
  <c r="AD36"/>
  <c r="AI36"/>
  <c r="AJ36" s="1"/>
  <c r="F64"/>
  <c r="U64"/>
  <c r="AH64" s="1"/>
  <c r="AM64" s="1"/>
  <c r="S63"/>
  <c r="K108"/>
  <c r="D107"/>
  <c r="M107" s="1"/>
  <c r="Y108"/>
  <c r="AL108" s="1"/>
  <c r="O107"/>
  <c r="O123"/>
  <c r="AB123" s="1"/>
  <c r="X119"/>
  <c r="AK119" s="1"/>
  <c r="T119"/>
  <c r="AG119" s="1"/>
  <c r="L86"/>
  <c r="D85"/>
  <c r="D91" s="1"/>
  <c r="X86"/>
  <c r="AK86" s="1"/>
  <c r="V86"/>
  <c r="AI86" s="1"/>
  <c r="Q85"/>
  <c r="AD85" s="1"/>
  <c r="Q98"/>
  <c r="AD98" s="1"/>
  <c r="S74"/>
  <c r="AF74" s="1"/>
  <c r="AC35"/>
  <c r="AC37" s="1"/>
  <c r="AG35"/>
  <c r="AK35"/>
  <c r="AB36"/>
  <c r="AB37" s="1"/>
  <c r="AH36"/>
  <c r="AG113"/>
  <c r="AC119"/>
  <c r="AC124" s="1"/>
  <c r="AI113"/>
  <c r="R113"/>
  <c r="H119"/>
  <c r="W119"/>
  <c r="AJ119" s="1"/>
  <c r="K86"/>
  <c r="L97"/>
  <c r="L102" s="1"/>
  <c r="J20" i="2" s="1"/>
  <c r="L75" i="1"/>
  <c r="D74"/>
  <c r="X97"/>
  <c r="AK97" s="1"/>
  <c r="T75"/>
  <c r="AG75" s="1"/>
  <c r="G37"/>
  <c r="Z64"/>
  <c r="H64"/>
  <c r="G69"/>
  <c r="D113"/>
  <c r="Q109"/>
  <c r="AD109" s="1"/>
  <c r="K119"/>
  <c r="K124" s="1"/>
  <c r="Q120"/>
  <c r="AD120" s="1"/>
  <c r="U119"/>
  <c r="AH119" s="1"/>
  <c r="Q118"/>
  <c r="AD118" s="1"/>
  <c r="F86"/>
  <c r="K97"/>
  <c r="J96"/>
  <c r="J102" s="1"/>
  <c r="H20" i="2" s="1"/>
  <c r="AF37" i="1"/>
  <c r="AB35"/>
  <c r="AF35"/>
  <c r="AJ35"/>
  <c r="AJ37" s="1"/>
  <c r="AA36"/>
  <c r="AA37" s="1"/>
  <c r="AG102"/>
  <c r="AE107"/>
  <c r="AE113" s="1"/>
  <c r="AK56" i="3"/>
  <c r="AK55"/>
  <c r="AK53"/>
  <c r="AG36"/>
  <c r="B39"/>
  <c r="F39"/>
  <c r="J39"/>
  <c r="D70"/>
  <c r="H70"/>
  <c r="D39"/>
  <c r="H39"/>
  <c r="L39"/>
  <c r="Y39" s="1"/>
  <c r="P39"/>
  <c r="AC39" s="1"/>
  <c r="X39"/>
  <c r="W70"/>
  <c r="AJ70" s="1"/>
  <c r="E39"/>
  <c r="I39"/>
  <c r="U39"/>
  <c r="AH39" s="1"/>
  <c r="C39"/>
  <c r="G39"/>
  <c r="K39"/>
  <c r="S39"/>
  <c r="AF39" s="1"/>
  <c r="E70"/>
  <c r="I70"/>
  <c r="X65"/>
  <c r="S70"/>
  <c r="AF70" s="1"/>
  <c r="X58"/>
  <c r="X68"/>
  <c r="G70"/>
  <c r="K55"/>
  <c r="B70"/>
  <c r="F70"/>
  <c r="X53"/>
  <c r="K54"/>
  <c r="X55"/>
  <c r="AK37" i="1"/>
  <c r="AI37"/>
  <c r="AE37"/>
  <c r="AD37"/>
  <c r="AL37"/>
  <c r="AG37"/>
  <c r="P24" i="3"/>
  <c r="AC24" s="1"/>
  <c r="I10" i="2"/>
  <c r="M10"/>
  <c r="V10"/>
  <c r="L10"/>
  <c r="Y10" s="1"/>
  <c r="Y12" s="1"/>
  <c r="S10"/>
  <c r="O24" i="3"/>
  <c r="AB24" s="1"/>
  <c r="T24"/>
  <c r="AG24" s="1"/>
  <c r="C24"/>
  <c r="G24"/>
  <c r="J75" i="1"/>
  <c r="J86"/>
  <c r="J91" s="1"/>
  <c r="H21" i="2" s="1"/>
  <c r="J119" i="1"/>
  <c r="D75"/>
  <c r="D97"/>
  <c r="Y75"/>
  <c r="Y86"/>
  <c r="AL86" s="1"/>
  <c r="Y119"/>
  <c r="AL119" s="1"/>
  <c r="AH74"/>
  <c r="R76"/>
  <c r="R87"/>
  <c r="AE87" s="1"/>
  <c r="P74"/>
  <c r="P96"/>
  <c r="P85"/>
  <c r="Q96"/>
  <c r="AD96" s="1"/>
  <c r="N74"/>
  <c r="N96"/>
  <c r="AA96" s="1"/>
  <c r="N85"/>
  <c r="AA85" s="1"/>
  <c r="N118"/>
  <c r="AA118" s="1"/>
  <c r="W39" i="3"/>
  <c r="AJ39" s="1"/>
  <c r="V39"/>
  <c r="AI39" s="1"/>
  <c r="N119" i="1"/>
  <c r="AA119" s="1"/>
  <c r="X23" i="2"/>
  <c r="L80" i="1"/>
  <c r="J19" i="2" s="1"/>
  <c r="G80" i="1"/>
  <c r="E19" i="2" s="1"/>
  <c r="L70" i="3"/>
  <c r="Y70" s="1"/>
  <c r="T70"/>
  <c r="AG70" s="1"/>
  <c r="K68"/>
  <c r="K58"/>
  <c r="N24"/>
  <c r="AA24" s="1"/>
  <c r="R24"/>
  <c r="AE24" s="1"/>
  <c r="B26"/>
  <c r="F24"/>
  <c r="B21" i="2"/>
  <c r="K77" i="1"/>
  <c r="K99"/>
  <c r="J76"/>
  <c r="J101"/>
  <c r="M101" s="1"/>
  <c r="I75"/>
  <c r="I86"/>
  <c r="F74"/>
  <c r="F85"/>
  <c r="F91" s="1"/>
  <c r="D21" i="2" s="1"/>
  <c r="AI74" i="1"/>
  <c r="U24" i="3"/>
  <c r="AH24" s="1"/>
  <c r="Q24"/>
  <c r="AD24" s="1"/>
  <c r="E24"/>
  <c r="J24"/>
  <c r="AJ74" i="1"/>
  <c r="R74"/>
  <c r="R85"/>
  <c r="AE85" s="1"/>
  <c r="R118"/>
  <c r="R96"/>
  <c r="AE96" s="1"/>
  <c r="N39" i="3"/>
  <c r="AA39" s="1"/>
  <c r="R39"/>
  <c r="AE39" s="1"/>
  <c r="C70"/>
  <c r="K65"/>
  <c r="X56"/>
  <c r="F20" i="2"/>
  <c r="I64" i="1"/>
  <c r="M110"/>
  <c r="M108"/>
  <c r="F118"/>
  <c r="K88"/>
  <c r="J87"/>
  <c r="M87" s="1"/>
  <c r="J79"/>
  <c r="M79" s="1"/>
  <c r="N97"/>
  <c r="AA97" s="1"/>
  <c r="N75"/>
  <c r="K53" i="3"/>
  <c r="P70"/>
  <c r="AC70" s="1"/>
  <c r="W24"/>
  <c r="AJ24" s="1"/>
  <c r="K56"/>
  <c r="D24"/>
  <c r="H24"/>
  <c r="L85" i="1"/>
  <c r="L91" s="1"/>
  <c r="J21" i="2" s="1"/>
  <c r="L118" i="1"/>
  <c r="L124" s="1"/>
  <c r="K74"/>
  <c r="K85"/>
  <c r="K91" s="1"/>
  <c r="I21" i="2" s="1"/>
  <c r="F36" i="1"/>
  <c r="H36"/>
  <c r="I36"/>
  <c r="AK74"/>
  <c r="S77"/>
  <c r="T36"/>
  <c r="S88"/>
  <c r="AF88" s="1"/>
  <c r="S120"/>
  <c r="J37"/>
  <c r="R20" i="2"/>
  <c r="AE20" s="1"/>
  <c r="X22"/>
  <c r="F37" i="1"/>
  <c r="E20" i="2"/>
  <c r="L111" i="1"/>
  <c r="M111" s="1"/>
  <c r="J109"/>
  <c r="J120"/>
  <c r="K22" i="2"/>
  <c r="J90" i="1"/>
  <c r="M90" s="1"/>
  <c r="J80"/>
  <c r="H19" i="2" s="1"/>
  <c r="R98" i="1"/>
  <c r="AE98" s="1"/>
  <c r="AE102" s="1"/>
  <c r="D13" i="3"/>
  <c r="D14" s="1"/>
  <c r="D18" s="1"/>
  <c r="B62" s="1"/>
  <c r="B61" s="1"/>
  <c r="J70"/>
  <c r="O74" i="1"/>
  <c r="N36"/>
  <c r="N37" s="1"/>
  <c r="F119"/>
  <c r="G86"/>
  <c r="O85"/>
  <c r="AB85" s="1"/>
  <c r="Y96"/>
  <c r="AL96" s="1"/>
  <c r="R97"/>
  <c r="AE97" s="1"/>
  <c r="X36"/>
  <c r="V36"/>
  <c r="U36"/>
  <c r="Q35"/>
  <c r="O35"/>
  <c r="M39" i="3"/>
  <c r="Z39" s="1"/>
  <c r="O39"/>
  <c r="AB39" s="1"/>
  <c r="Q39"/>
  <c r="AD39" s="1"/>
  <c r="X54" l="1"/>
  <c r="AK22" i="2"/>
  <c r="AK23"/>
  <c r="C18"/>
  <c r="C52" i="3" s="1"/>
  <c r="AM118" i="1"/>
  <c r="S124"/>
  <c r="AF120"/>
  <c r="AF124" s="1"/>
  <c r="R124"/>
  <c r="AE118"/>
  <c r="AE124" s="1"/>
  <c r="P91"/>
  <c r="N21" i="2" s="1"/>
  <c r="AA21" s="1"/>
  <c r="AC85" i="1"/>
  <c r="AC91" s="1"/>
  <c r="Z107"/>
  <c r="AB107"/>
  <c r="AF63"/>
  <c r="S69"/>
  <c r="P102"/>
  <c r="N20" i="2" s="1"/>
  <c r="AA20" s="1"/>
  <c r="AC96" i="1"/>
  <c r="AC102" s="1"/>
  <c r="M96"/>
  <c r="M119"/>
  <c r="K80"/>
  <c r="I19" i="2" s="1"/>
  <c r="Z63" i="1"/>
  <c r="S12" i="2"/>
  <c r="S26" i="3" s="1"/>
  <c r="AF26" s="1"/>
  <c r="AF10" i="2"/>
  <c r="AF12" s="1"/>
  <c r="M12"/>
  <c r="M26" i="3" s="1"/>
  <c r="Z26" s="1"/>
  <c r="Z10" i="2"/>
  <c r="Z12" s="1"/>
  <c r="V12"/>
  <c r="V26" i="3" s="1"/>
  <c r="AI26" s="1"/>
  <c r="AI10" i="2"/>
  <c r="AI12" s="1"/>
  <c r="J18"/>
  <c r="J52" i="3" s="1"/>
  <c r="H18" i="2"/>
  <c r="H52" i="3" s="1"/>
  <c r="AF91" i="1"/>
  <c r="AE91"/>
  <c r="AM85"/>
  <c r="AM96"/>
  <c r="K61" i="3"/>
  <c r="K62"/>
  <c r="U79" i="1"/>
  <c r="AH79" s="1"/>
  <c r="U90"/>
  <c r="AH90" s="1"/>
  <c r="U77"/>
  <c r="U37"/>
  <c r="U68"/>
  <c r="U121"/>
  <c r="AH121" s="1"/>
  <c r="U66"/>
  <c r="U88"/>
  <c r="AH88" s="1"/>
  <c r="AH91" s="1"/>
  <c r="U123"/>
  <c r="AH123" s="1"/>
  <c r="AF77"/>
  <c r="Z77"/>
  <c r="H77"/>
  <c r="H66"/>
  <c r="H37"/>
  <c r="H88"/>
  <c r="H121"/>
  <c r="AA75"/>
  <c r="M99"/>
  <c r="K102"/>
  <c r="I20" i="2" s="1"/>
  <c r="F50" i="3"/>
  <c r="R50"/>
  <c r="AE50" s="1"/>
  <c r="Z118" i="1"/>
  <c r="D80"/>
  <c r="M75"/>
  <c r="G50" i="3"/>
  <c r="O50"/>
  <c r="AB50" s="1"/>
  <c r="X10" i="2"/>
  <c r="L12"/>
  <c r="P50" i="3"/>
  <c r="AC50" s="1"/>
  <c r="Q97" i="1"/>
  <c r="Q86"/>
  <c r="Q119"/>
  <c r="Q108"/>
  <c r="Q37"/>
  <c r="Q75"/>
  <c r="T78"/>
  <c r="T87"/>
  <c r="AG87" s="1"/>
  <c r="AG91" s="1"/>
  <c r="T122"/>
  <c r="AG122" s="1"/>
  <c r="T37"/>
  <c r="T76"/>
  <c r="T89"/>
  <c r="AG89" s="1"/>
  <c r="T120"/>
  <c r="AG120" s="1"/>
  <c r="AG124" s="1"/>
  <c r="T67"/>
  <c r="T65"/>
  <c r="I76"/>
  <c r="I122"/>
  <c r="M122" s="1"/>
  <c r="I89"/>
  <c r="M89" s="1"/>
  <c r="I65"/>
  <c r="I69" s="1"/>
  <c r="I78"/>
  <c r="M78" s="1"/>
  <c r="I120"/>
  <c r="I124" s="1"/>
  <c r="I37"/>
  <c r="I67"/>
  <c r="M67" s="1"/>
  <c r="J50" i="3"/>
  <c r="M74" i="1"/>
  <c r="B24" i="3"/>
  <c r="N50"/>
  <c r="AA50" s="1"/>
  <c r="AA74" i="1"/>
  <c r="Z74"/>
  <c r="AC74"/>
  <c r="AC80" s="1"/>
  <c r="P80"/>
  <c r="N19" i="2" s="1"/>
  <c r="M97" i="1"/>
  <c r="D102"/>
  <c r="I12" i="2"/>
  <c r="K10"/>
  <c r="O97" i="1"/>
  <c r="AB75"/>
  <c r="O86"/>
  <c r="O119"/>
  <c r="O108"/>
  <c r="AB108" s="1"/>
  <c r="O37"/>
  <c r="X99"/>
  <c r="AK99" s="1"/>
  <c r="AM99" s="1"/>
  <c r="Y36"/>
  <c r="X88"/>
  <c r="X77"/>
  <c r="X121"/>
  <c r="X110"/>
  <c r="AK110" s="1"/>
  <c r="X37"/>
  <c r="G91"/>
  <c r="M86"/>
  <c r="O80"/>
  <c r="M19" i="2" s="1"/>
  <c r="Z19" s="1"/>
  <c r="AB74" i="1"/>
  <c r="S91"/>
  <c r="Q21" i="2" s="1"/>
  <c r="AD21" s="1"/>
  <c r="Z88" i="1"/>
  <c r="H50" i="3"/>
  <c r="AE74" i="1"/>
  <c r="R80"/>
  <c r="P19" i="2" s="1"/>
  <c r="AC19" s="1"/>
  <c r="U50" i="3"/>
  <c r="AH50" s="1"/>
  <c r="Z96" i="1"/>
  <c r="AL75"/>
  <c r="C50" i="3"/>
  <c r="T50"/>
  <c r="AG50" s="1"/>
  <c r="V78" i="1"/>
  <c r="AI78" s="1"/>
  <c r="V89"/>
  <c r="W36"/>
  <c r="V67"/>
  <c r="AI67" s="1"/>
  <c r="V120"/>
  <c r="AI120" s="1"/>
  <c r="V65"/>
  <c r="V37"/>
  <c r="V76"/>
  <c r="V122"/>
  <c r="AI122" s="1"/>
  <c r="N101"/>
  <c r="AA101" s="1"/>
  <c r="N90"/>
  <c r="N79"/>
  <c r="N80" s="1"/>
  <c r="N123"/>
  <c r="N112"/>
  <c r="AA112" s="1"/>
  <c r="J113"/>
  <c r="M109"/>
  <c r="M113" s="1"/>
  <c r="M114" s="1"/>
  <c r="F120"/>
  <c r="F124" s="1"/>
  <c r="F76"/>
  <c r="F65"/>
  <c r="D50" i="3"/>
  <c r="W50"/>
  <c r="AJ50" s="1"/>
  <c r="E50"/>
  <c r="Q50"/>
  <c r="AD50" s="1"/>
  <c r="Z85" i="1"/>
  <c r="AE76"/>
  <c r="AF80"/>
  <c r="R102"/>
  <c r="P20" i="2" s="1"/>
  <c r="AC20" s="1"/>
  <c r="S80" i="1"/>
  <c r="Q19" i="2" s="1"/>
  <c r="M64" i="1"/>
  <c r="M118"/>
  <c r="K70" i="3"/>
  <c r="L113" i="1"/>
  <c r="M85"/>
  <c r="R91"/>
  <c r="P21" i="2" s="1"/>
  <c r="AC21" s="1"/>
  <c r="X70" i="3"/>
  <c r="J124" i="1"/>
  <c r="C26" i="2" l="1"/>
  <c r="C29" i="3" s="1"/>
  <c r="C34" s="1"/>
  <c r="N124" i="1"/>
  <c r="AA123"/>
  <c r="AM110"/>
  <c r="AK113"/>
  <c r="O124"/>
  <c r="AB119"/>
  <c r="Q113"/>
  <c r="AD108"/>
  <c r="AD113" s="1"/>
  <c r="AA113"/>
  <c r="AA102"/>
  <c r="V91"/>
  <c r="T21" i="2" s="1"/>
  <c r="AG21" s="1"/>
  <c r="AI89" i="1"/>
  <c r="X91"/>
  <c r="V21" i="2" s="1"/>
  <c r="AI21" s="1"/>
  <c r="AK88" i="1"/>
  <c r="AK91" s="1"/>
  <c r="O102"/>
  <c r="M20" i="2" s="1"/>
  <c r="Z20" s="1"/>
  <c r="AB97" i="1"/>
  <c r="Q102"/>
  <c r="O20" i="2" s="1"/>
  <c r="AB20" s="1"/>
  <c r="AD97" i="1"/>
  <c r="AD102" s="1"/>
  <c r="AM63"/>
  <c r="AF69"/>
  <c r="AI124"/>
  <c r="AK102"/>
  <c r="Z119"/>
  <c r="M76"/>
  <c r="AM108"/>
  <c r="AM88"/>
  <c r="X124"/>
  <c r="AK121"/>
  <c r="AK124" s="1"/>
  <c r="Z86"/>
  <c r="AB86"/>
  <c r="Q124"/>
  <c r="AD119"/>
  <c r="AD124" s="1"/>
  <c r="AB113"/>
  <c r="AM107"/>
  <c r="N91"/>
  <c r="AA90"/>
  <c r="Q91"/>
  <c r="O21" i="2" s="1"/>
  <c r="AB21" s="1"/>
  <c r="AD86" i="1"/>
  <c r="AD91" s="1"/>
  <c r="I18" i="2"/>
  <c r="I26" s="1"/>
  <c r="I29" i="3" s="1"/>
  <c r="I27" s="1"/>
  <c r="AH124" i="1"/>
  <c r="N18" i="2"/>
  <c r="AA18" s="1"/>
  <c r="AA26" s="1"/>
  <c r="AA19"/>
  <c r="Q18"/>
  <c r="AD18" s="1"/>
  <c r="AD26" s="1"/>
  <c r="AD19"/>
  <c r="AK12"/>
  <c r="M24" i="3"/>
  <c r="Z24" s="1"/>
  <c r="AK10" i="2"/>
  <c r="S24" i="3"/>
  <c r="AF24" s="1"/>
  <c r="V24"/>
  <c r="AI24" s="1"/>
  <c r="J26" i="2"/>
  <c r="J29" i="3" s="1"/>
  <c r="J34" s="1"/>
  <c r="P18" i="2"/>
  <c r="P52" i="3" s="1"/>
  <c r="AC52" s="1"/>
  <c r="H26" i="2"/>
  <c r="H29" i="3" s="1"/>
  <c r="H27" s="1"/>
  <c r="H30" s="1"/>
  <c r="L21" i="2"/>
  <c r="Y21" s="1"/>
  <c r="M65" i="1"/>
  <c r="F69"/>
  <c r="I26" i="3"/>
  <c r="K12" i="2"/>
  <c r="K26" i="3" s="1"/>
  <c r="L19" i="2"/>
  <c r="Y19" s="1"/>
  <c r="B50" i="3"/>
  <c r="T124" i="1"/>
  <c r="N113"/>
  <c r="AI65"/>
  <c r="AI69" s="1"/>
  <c r="V69"/>
  <c r="E21" i="2"/>
  <c r="AK77" i="1"/>
  <c r="AK80" s="1"/>
  <c r="X80"/>
  <c r="V19" i="2" s="1"/>
  <c r="AI19" s="1"/>
  <c r="O91" i="1"/>
  <c r="M21" i="2" s="1"/>
  <c r="Z21" s="1"/>
  <c r="N102" i="1"/>
  <c r="AE80"/>
  <c r="I80"/>
  <c r="G19" i="2" s="1"/>
  <c r="T91" i="1"/>
  <c r="R21" i="2" s="1"/>
  <c r="AE21" s="1"/>
  <c r="Z75" i="1"/>
  <c r="U91"/>
  <c r="S21" i="2" s="1"/>
  <c r="AF21" s="1"/>
  <c r="Z99" i="1"/>
  <c r="X102"/>
  <c r="V20" i="2" s="1"/>
  <c r="AI20" s="1"/>
  <c r="B20"/>
  <c r="K20" s="1"/>
  <c r="M102" i="1"/>
  <c r="M103" s="1"/>
  <c r="M88"/>
  <c r="H91"/>
  <c r="F21" i="2" s="1"/>
  <c r="AH68" i="1"/>
  <c r="AM68" s="1"/>
  <c r="Z68"/>
  <c r="AA79"/>
  <c r="AM79" s="1"/>
  <c r="AI76"/>
  <c r="AI80" s="1"/>
  <c r="V80"/>
  <c r="T19" i="2" s="1"/>
  <c r="Z110" i="1"/>
  <c r="X113"/>
  <c r="Y100"/>
  <c r="AL100" s="1"/>
  <c r="Y78"/>
  <c r="Y89"/>
  <c r="Y111"/>
  <c r="AL111" s="1"/>
  <c r="Y122"/>
  <c r="Y37"/>
  <c r="AG67"/>
  <c r="AM67" s="1"/>
  <c r="Z67"/>
  <c r="AD75"/>
  <c r="AD80" s="1"/>
  <c r="Q80"/>
  <c r="O19" i="2" s="1"/>
  <c r="X12"/>
  <c r="X26" i="3" s="1"/>
  <c r="L26"/>
  <c r="Y26" s="1"/>
  <c r="AK26" s="1"/>
  <c r="M121" i="1"/>
  <c r="H124"/>
  <c r="M77"/>
  <c r="H80"/>
  <c r="F19" i="2" s="1"/>
  <c r="U124" i="1"/>
  <c r="Z121"/>
  <c r="Z122"/>
  <c r="F80"/>
  <c r="D19" i="2" s="1"/>
  <c r="D18" s="1"/>
  <c r="W79" i="1"/>
  <c r="AJ79" s="1"/>
  <c r="W101"/>
  <c r="W87"/>
  <c r="AJ87" s="1"/>
  <c r="AM87" s="1"/>
  <c r="W123"/>
  <c r="AJ123" s="1"/>
  <c r="W90"/>
  <c r="W120"/>
  <c r="W109"/>
  <c r="AJ109" s="1"/>
  <c r="W112"/>
  <c r="W76"/>
  <c r="W98"/>
  <c r="AJ98" s="1"/>
  <c r="W37"/>
  <c r="O113"/>
  <c r="Z108"/>
  <c r="AM74"/>
  <c r="AG65"/>
  <c r="T69"/>
  <c r="Z65"/>
  <c r="AG76"/>
  <c r="T80"/>
  <c r="R19" i="2" s="1"/>
  <c r="AE19" s="1"/>
  <c r="AG78" i="1"/>
  <c r="Z78"/>
  <c r="B19" i="2"/>
  <c r="M66" i="1"/>
  <c r="H69"/>
  <c r="AH66"/>
  <c r="Z66"/>
  <c r="U69"/>
  <c r="AH77"/>
  <c r="AH80" s="1"/>
  <c r="U80"/>
  <c r="S19" i="2" s="1"/>
  <c r="AF19" s="1"/>
  <c r="Z97" i="1"/>
  <c r="M120"/>
  <c r="M124" s="1"/>
  <c r="M125" s="1"/>
  <c r="V124"/>
  <c r="AB80"/>
  <c r="AM75"/>
  <c r="I91"/>
  <c r="G21" i="2" s="1"/>
  <c r="C37" i="3" l="1"/>
  <c r="C40" s="1"/>
  <c r="C27"/>
  <c r="C30" s="1"/>
  <c r="Q26" i="2"/>
  <c r="Q29" i="3" s="1"/>
  <c r="AD29" s="1"/>
  <c r="I52"/>
  <c r="AM111" i="1"/>
  <c r="AL113"/>
  <c r="AA91"/>
  <c r="Z90"/>
  <c r="AJ90"/>
  <c r="AM90" s="1"/>
  <c r="Y124"/>
  <c r="AL122"/>
  <c r="AM100"/>
  <c r="AL102"/>
  <c r="AB102"/>
  <c r="AM97"/>
  <c r="AI91"/>
  <c r="AM119"/>
  <c r="AB124"/>
  <c r="AM123"/>
  <c r="AA124"/>
  <c r="M80"/>
  <c r="M81" s="1"/>
  <c r="AM98"/>
  <c r="AJ102"/>
  <c r="W124"/>
  <c r="AJ120"/>
  <c r="Z101"/>
  <c r="AJ101"/>
  <c r="AM101" s="1"/>
  <c r="AM86"/>
  <c r="AB91"/>
  <c r="M91"/>
  <c r="Z112"/>
  <c r="AJ112"/>
  <c r="AM112" s="1"/>
  <c r="AM109"/>
  <c r="AM113" s="1"/>
  <c r="AM114" s="1"/>
  <c r="Y91"/>
  <c r="W21" i="2" s="1"/>
  <c r="AJ21" s="1"/>
  <c r="AL89" i="1"/>
  <c r="AL91" s="1"/>
  <c r="Z123"/>
  <c r="AA80"/>
  <c r="AM80" s="1"/>
  <c r="AM81" s="1"/>
  <c r="AJ91"/>
  <c r="AM121"/>
  <c r="M18" i="2"/>
  <c r="Z18" s="1"/>
  <c r="Z26" s="1"/>
  <c r="F18"/>
  <c r="F52" i="3" s="1"/>
  <c r="N26" i="2"/>
  <c r="N29" i="3" s="1"/>
  <c r="AA29" s="1"/>
  <c r="Q52"/>
  <c r="AD52" s="1"/>
  <c r="N52"/>
  <c r="AA52" s="1"/>
  <c r="O18" i="2"/>
  <c r="AB18" s="1"/>
  <c r="AB26" s="1"/>
  <c r="AB19"/>
  <c r="T18"/>
  <c r="AG18" s="1"/>
  <c r="AG26" s="1"/>
  <c r="AG19"/>
  <c r="P26"/>
  <c r="P29" i="3" s="1"/>
  <c r="AC29" s="1"/>
  <c r="AC18" i="2"/>
  <c r="AC26" s="1"/>
  <c r="V50" i="3"/>
  <c r="AI50" s="1"/>
  <c r="M50"/>
  <c r="Z50" s="1"/>
  <c r="S50"/>
  <c r="AF50" s="1"/>
  <c r="H34"/>
  <c r="H32" s="1"/>
  <c r="H37"/>
  <c r="J27"/>
  <c r="J30" s="1"/>
  <c r="J37"/>
  <c r="J40" s="1"/>
  <c r="S18" i="2"/>
  <c r="AF18" s="1"/>
  <c r="AF26" s="1"/>
  <c r="J32" i="3"/>
  <c r="AJ76" i="1"/>
  <c r="AJ80" s="1"/>
  <c r="W80"/>
  <c r="U19" i="2" s="1"/>
  <c r="AH19" s="1"/>
  <c r="Z76" i="1"/>
  <c r="AL78"/>
  <c r="AL80" s="1"/>
  <c r="Y80"/>
  <c r="W19" i="2" s="1"/>
  <c r="AJ19" s="1"/>
  <c r="L20"/>
  <c r="Y20" s="1"/>
  <c r="E18"/>
  <c r="K21"/>
  <c r="I34" i="3"/>
  <c r="I24"/>
  <c r="I37"/>
  <c r="AM77" i="1"/>
  <c r="AM78"/>
  <c r="Z69"/>
  <c r="Z70" s="1"/>
  <c r="Z89"/>
  <c r="W102"/>
  <c r="U20" i="2" s="1"/>
  <c r="AH20" s="1"/>
  <c r="Z98" i="1"/>
  <c r="X24" i="3"/>
  <c r="K24"/>
  <c r="B18" i="2"/>
  <c r="K19"/>
  <c r="Z109" i="1"/>
  <c r="Z113" s="1"/>
  <c r="Z114" s="1"/>
  <c r="W113"/>
  <c r="W91"/>
  <c r="U21" i="2" s="1"/>
  <c r="AH21" s="1"/>
  <c r="Z87" i="1"/>
  <c r="D26" i="2"/>
  <c r="D29" i="3" s="1"/>
  <c r="D52"/>
  <c r="L24"/>
  <c r="Y24" s="1"/>
  <c r="AK24" s="1"/>
  <c r="Y113" i="1"/>
  <c r="Z111"/>
  <c r="Z79"/>
  <c r="AH69"/>
  <c r="AM66"/>
  <c r="AM65"/>
  <c r="AG69"/>
  <c r="AM69" s="1"/>
  <c r="AM70" s="1"/>
  <c r="C32" i="3"/>
  <c r="Z100" i="1"/>
  <c r="Y102"/>
  <c r="W20" i="2" s="1"/>
  <c r="AJ20" s="1"/>
  <c r="Z91" i="1"/>
  <c r="X21" i="2" s="1"/>
  <c r="AK21" s="1"/>
  <c r="AG80" i="1"/>
  <c r="R18" i="2"/>
  <c r="AE18" s="1"/>
  <c r="AE26" s="1"/>
  <c r="G18"/>
  <c r="AM76" i="1"/>
  <c r="V18" i="2"/>
  <c r="AI18" s="1"/>
  <c r="AI26" s="1"/>
  <c r="Z120" i="1"/>
  <c r="Z124" s="1"/>
  <c r="Z125" s="1"/>
  <c r="M70"/>
  <c r="Q37" i="3" l="1"/>
  <c r="AD37" s="1"/>
  <c r="Q27"/>
  <c r="Q30" s="1"/>
  <c r="AD30" s="1"/>
  <c r="Q34"/>
  <c r="AD34" s="1"/>
  <c r="AM89" i="1"/>
  <c r="AJ124"/>
  <c r="AM120"/>
  <c r="Z80"/>
  <c r="Z81" s="1"/>
  <c r="X19" i="2" s="1"/>
  <c r="AK19" s="1"/>
  <c r="AM124" i="1"/>
  <c r="AM125" s="1"/>
  <c r="AM102"/>
  <c r="AM103" s="1"/>
  <c r="AM91"/>
  <c r="AL124"/>
  <c r="AM122"/>
  <c r="AJ113"/>
  <c r="O26" i="2"/>
  <c r="O29" i="3" s="1"/>
  <c r="AB29" s="1"/>
  <c r="M52"/>
  <c r="Z52" s="1"/>
  <c r="F26" i="2"/>
  <c r="F29" i="3" s="1"/>
  <c r="F34" s="1"/>
  <c r="M26" i="2"/>
  <c r="M29" i="3" s="1"/>
  <c r="Z29" s="1"/>
  <c r="T52"/>
  <c r="AG52" s="1"/>
  <c r="T26" i="2"/>
  <c r="T29" i="3" s="1"/>
  <c r="AG29" s="1"/>
  <c r="N27"/>
  <c r="AA27" s="1"/>
  <c r="K18" i="2"/>
  <c r="K26" s="1"/>
  <c r="K29" i="3" s="1"/>
  <c r="K27" s="1"/>
  <c r="K30" s="1"/>
  <c r="N37"/>
  <c r="AA37" s="1"/>
  <c r="N34"/>
  <c r="AA34" s="1"/>
  <c r="P37"/>
  <c r="AC37" s="1"/>
  <c r="P27"/>
  <c r="AC27" s="1"/>
  <c r="P34"/>
  <c r="AC34" s="1"/>
  <c r="O52"/>
  <c r="AB52" s="1"/>
  <c r="C75"/>
  <c r="L18" i="2"/>
  <c r="Y18" s="1"/>
  <c r="Y26" s="1"/>
  <c r="S26"/>
  <c r="S29" i="3" s="1"/>
  <c r="AF29" s="1"/>
  <c r="S52"/>
  <c r="AF52" s="1"/>
  <c r="H40"/>
  <c r="U18" i="2"/>
  <c r="AH18" s="1"/>
  <c r="AH26" s="1"/>
  <c r="H35" i="3"/>
  <c r="H57" s="1"/>
  <c r="H51" s="1"/>
  <c r="H59" s="1"/>
  <c r="K50"/>
  <c r="I50"/>
  <c r="I30"/>
  <c r="Z102" i="1"/>
  <c r="Z103" s="1"/>
  <c r="X20" i="2" s="1"/>
  <c r="Q32" i="3"/>
  <c r="AD32" s="1"/>
  <c r="V26" i="2"/>
  <c r="V29" i="3" s="1"/>
  <c r="AI29" s="1"/>
  <c r="V52"/>
  <c r="AI52" s="1"/>
  <c r="R52"/>
  <c r="AE52" s="1"/>
  <c r="R26" i="2"/>
  <c r="R29" i="3" s="1"/>
  <c r="AE29" s="1"/>
  <c r="D27"/>
  <c r="D30" s="1"/>
  <c r="D34"/>
  <c r="D37"/>
  <c r="X50"/>
  <c r="J35"/>
  <c r="J57" s="1"/>
  <c r="J51" s="1"/>
  <c r="J59" s="1"/>
  <c r="W18" i="2"/>
  <c r="AJ18" s="1"/>
  <c r="AJ26" s="1"/>
  <c r="E26"/>
  <c r="E29" i="3" s="1"/>
  <c r="E52"/>
  <c r="G26" i="2"/>
  <c r="G29" i="3" s="1"/>
  <c r="G52"/>
  <c r="C35"/>
  <c r="C57" s="1"/>
  <c r="C51" s="1"/>
  <c r="C59" s="1"/>
  <c r="L50"/>
  <c r="Y50" s="1"/>
  <c r="AK50" s="1"/>
  <c r="B26" i="2"/>
  <c r="B29" i="3" s="1"/>
  <c r="B52"/>
  <c r="I40"/>
  <c r="I32"/>
  <c r="M37" l="1"/>
  <c r="Z37" s="1"/>
  <c r="AD27"/>
  <c r="Q40"/>
  <c r="AD40" s="1"/>
  <c r="M27"/>
  <c r="Z27" s="1"/>
  <c r="O37"/>
  <c r="AB37" s="1"/>
  <c r="O34"/>
  <c r="AB34" s="1"/>
  <c r="O27"/>
  <c r="AB27" s="1"/>
  <c r="F37"/>
  <c r="F40" s="1"/>
  <c r="F27"/>
  <c r="F30" s="1"/>
  <c r="M34"/>
  <c r="Z34" s="1"/>
  <c r="K34"/>
  <c r="K32" s="1"/>
  <c r="K35" s="1"/>
  <c r="K38" s="1"/>
  <c r="U26" i="2"/>
  <c r="U29" i="3" s="1"/>
  <c r="AH29" s="1"/>
  <c r="N30"/>
  <c r="AA30" s="1"/>
  <c r="T34"/>
  <c r="AG34" s="1"/>
  <c r="T37"/>
  <c r="AG37" s="1"/>
  <c r="T27"/>
  <c r="AG27" s="1"/>
  <c r="K37"/>
  <c r="N40"/>
  <c r="AA40" s="1"/>
  <c r="N32"/>
  <c r="AA32" s="1"/>
  <c r="P40"/>
  <c r="AC40" s="1"/>
  <c r="S34"/>
  <c r="AF34" s="1"/>
  <c r="P32"/>
  <c r="AC32" s="1"/>
  <c r="U52"/>
  <c r="AH52" s="1"/>
  <c r="L26" i="2"/>
  <c r="L29" i="3" s="1"/>
  <c r="Y29" s="1"/>
  <c r="P30"/>
  <c r="AC30" s="1"/>
  <c r="L52"/>
  <c r="Y52" s="1"/>
  <c r="X18" i="2"/>
  <c r="AK20"/>
  <c r="S37" i="3"/>
  <c r="AF37" s="1"/>
  <c r="S27"/>
  <c r="S30" s="1"/>
  <c r="AF30" s="1"/>
  <c r="O30"/>
  <c r="AB30" s="1"/>
  <c r="M30"/>
  <c r="Z30" s="1"/>
  <c r="J38"/>
  <c r="W52"/>
  <c r="W26" i="2"/>
  <c r="W29" i="3" s="1"/>
  <c r="AJ29" s="1"/>
  <c r="E27"/>
  <c r="E30" s="1"/>
  <c r="E37"/>
  <c r="E34"/>
  <c r="D40"/>
  <c r="D32"/>
  <c r="V27"/>
  <c r="V34"/>
  <c r="AI34" s="1"/>
  <c r="V37"/>
  <c r="AI37" s="1"/>
  <c r="I35"/>
  <c r="I57" s="1"/>
  <c r="I51" s="1"/>
  <c r="I59" s="1"/>
  <c r="G37"/>
  <c r="G27"/>
  <c r="G30" s="1"/>
  <c r="G34"/>
  <c r="K52"/>
  <c r="F32"/>
  <c r="C38"/>
  <c r="B27"/>
  <c r="B30" s="1"/>
  <c r="B37"/>
  <c r="B34"/>
  <c r="R27"/>
  <c r="R37"/>
  <c r="AE37" s="1"/>
  <c r="R34"/>
  <c r="AE34" s="1"/>
  <c r="Q35"/>
  <c r="H38"/>
  <c r="O40" l="1"/>
  <c r="AB40" s="1"/>
  <c r="O32"/>
  <c r="AB32" s="1"/>
  <c r="M40"/>
  <c r="Z40" s="1"/>
  <c r="M32"/>
  <c r="Z32" s="1"/>
  <c r="K40"/>
  <c r="K42" s="1"/>
  <c r="U27"/>
  <c r="U30" s="1"/>
  <c r="AH30" s="1"/>
  <c r="U37"/>
  <c r="AH37" s="1"/>
  <c r="U34"/>
  <c r="AH34" s="1"/>
  <c r="T32"/>
  <c r="AG32" s="1"/>
  <c r="T40"/>
  <c r="AG40" s="1"/>
  <c r="T30"/>
  <c r="AG30" s="1"/>
  <c r="N35"/>
  <c r="N57" s="1"/>
  <c r="P35"/>
  <c r="AC35" s="1"/>
  <c r="S32"/>
  <c r="AF32" s="1"/>
  <c r="L27"/>
  <c r="Y27" s="1"/>
  <c r="L34"/>
  <c r="Y34" s="1"/>
  <c r="AF27"/>
  <c r="L37"/>
  <c r="Y37" s="1"/>
  <c r="AK29"/>
  <c r="S40"/>
  <c r="AF40" s="1"/>
  <c r="X26" i="2"/>
  <c r="X29" i="3" s="1"/>
  <c r="AK18" i="2"/>
  <c r="AK26" s="1"/>
  <c r="X52" i="3"/>
  <c r="AJ52"/>
  <c r="AK52" s="1"/>
  <c r="V30"/>
  <c r="AI30" s="1"/>
  <c r="AI27"/>
  <c r="Q57"/>
  <c r="AD35"/>
  <c r="R30"/>
  <c r="AE30" s="1"/>
  <c r="AE27"/>
  <c r="B40"/>
  <c r="B32"/>
  <c r="F35"/>
  <c r="F57" s="1"/>
  <c r="F51" s="1"/>
  <c r="F59" s="1"/>
  <c r="G40"/>
  <c r="G32"/>
  <c r="R40"/>
  <c r="AE40" s="1"/>
  <c r="R32"/>
  <c r="AE32" s="1"/>
  <c r="V40"/>
  <c r="AI40" s="1"/>
  <c r="V32"/>
  <c r="AI32" s="1"/>
  <c r="E40"/>
  <c r="E32"/>
  <c r="W37"/>
  <c r="AJ37" s="1"/>
  <c r="W27"/>
  <c r="W34"/>
  <c r="AJ34" s="1"/>
  <c r="D35"/>
  <c r="D57" s="1"/>
  <c r="D51" s="1"/>
  <c r="D59" s="1"/>
  <c r="Q38"/>
  <c r="AD38" s="1"/>
  <c r="I38"/>
  <c r="O35" l="1"/>
  <c r="O38" s="1"/>
  <c r="AB38" s="1"/>
  <c r="M35"/>
  <c r="M57" s="1"/>
  <c r="U32"/>
  <c r="AH32" s="1"/>
  <c r="U40"/>
  <c r="AH40" s="1"/>
  <c r="AH27"/>
  <c r="AA35"/>
  <c r="N38"/>
  <c r="AA38" s="1"/>
  <c r="S35"/>
  <c r="S57" s="1"/>
  <c r="AK37"/>
  <c r="P57"/>
  <c r="AC57" s="1"/>
  <c r="P38"/>
  <c r="AC38" s="1"/>
  <c r="L30"/>
  <c r="Y30" s="1"/>
  <c r="AK34"/>
  <c r="L40"/>
  <c r="Y40" s="1"/>
  <c r="L32"/>
  <c r="Y32" s="1"/>
  <c r="X37"/>
  <c r="X34"/>
  <c r="X27"/>
  <c r="Q51"/>
  <c r="AD57"/>
  <c r="N51"/>
  <c r="AA57"/>
  <c r="W30"/>
  <c r="AJ30" s="1"/>
  <c r="AJ27"/>
  <c r="O57"/>
  <c r="D38"/>
  <c r="E35"/>
  <c r="E57" s="1"/>
  <c r="E51" s="1"/>
  <c r="E59" s="1"/>
  <c r="R35"/>
  <c r="G35"/>
  <c r="G57" s="1"/>
  <c r="G51" s="1"/>
  <c r="G59" s="1"/>
  <c r="B35"/>
  <c r="B57" s="1"/>
  <c r="W40"/>
  <c r="AJ40" s="1"/>
  <c r="W32"/>
  <c r="AJ32" s="1"/>
  <c r="V35"/>
  <c r="F38"/>
  <c r="AB35" l="1"/>
  <c r="Z35"/>
  <c r="M38"/>
  <c r="Z38" s="1"/>
  <c r="U35"/>
  <c r="AH35" s="1"/>
  <c r="T35"/>
  <c r="AG35" s="1"/>
  <c r="AK27"/>
  <c r="P51"/>
  <c r="AC51" s="1"/>
  <c r="S38"/>
  <c r="AF38" s="1"/>
  <c r="AF35"/>
  <c r="AK32"/>
  <c r="AK30"/>
  <c r="L35"/>
  <c r="L57" s="1"/>
  <c r="AK40"/>
  <c r="X40"/>
  <c r="X32"/>
  <c r="X30"/>
  <c r="M51"/>
  <c r="Z57"/>
  <c r="N59"/>
  <c r="AA59" s="1"/>
  <c r="AA51"/>
  <c r="Q59"/>
  <c r="AD59" s="1"/>
  <c r="AD51"/>
  <c r="O51"/>
  <c r="AB57"/>
  <c r="S51"/>
  <c r="AF57"/>
  <c r="V57"/>
  <c r="AI35"/>
  <c r="R57"/>
  <c r="AE35"/>
  <c r="V38"/>
  <c r="AI38" s="1"/>
  <c r="G38"/>
  <c r="E38"/>
  <c r="B38"/>
  <c r="B42" s="1"/>
  <c r="C42" s="1"/>
  <c r="D42" s="1"/>
  <c r="E42" s="1"/>
  <c r="F42" s="1"/>
  <c r="G42" s="1"/>
  <c r="H42" s="1"/>
  <c r="I42" s="1"/>
  <c r="J42" s="1"/>
  <c r="L42" s="1"/>
  <c r="R38"/>
  <c r="AE38" s="1"/>
  <c r="W35"/>
  <c r="T38"/>
  <c r="AG38" s="1"/>
  <c r="K57"/>
  <c r="B51"/>
  <c r="U57" l="1"/>
  <c r="U51" s="1"/>
  <c r="U38"/>
  <c r="AH38" s="1"/>
  <c r="T57"/>
  <c r="AG57" s="1"/>
  <c r="P59"/>
  <c r="AC59" s="1"/>
  <c r="L38"/>
  <c r="Y38" s="1"/>
  <c r="Y35"/>
  <c r="Y57"/>
  <c r="L51"/>
  <c r="Y51" s="1"/>
  <c r="X42"/>
  <c r="X35"/>
  <c r="T51"/>
  <c r="V51"/>
  <c r="AI57"/>
  <c r="M59"/>
  <c r="Z59" s="1"/>
  <c r="Z51"/>
  <c r="S59"/>
  <c r="AF59" s="1"/>
  <c r="AF51"/>
  <c r="O59"/>
  <c r="AB59" s="1"/>
  <c r="AB51"/>
  <c r="R51"/>
  <c r="AE57"/>
  <c r="M42"/>
  <c r="W57"/>
  <c r="AJ35"/>
  <c r="W38"/>
  <c r="AJ38" s="1"/>
  <c r="K51"/>
  <c r="K59" s="1"/>
  <c r="B59"/>
  <c r="AH57" l="1"/>
  <c r="AK35"/>
  <c r="AK38"/>
  <c r="L59"/>
  <c r="Y59" s="1"/>
  <c r="X38"/>
  <c r="T59"/>
  <c r="AG59" s="1"/>
  <c r="AG51"/>
  <c r="R59"/>
  <c r="AE59" s="1"/>
  <c r="AE51"/>
  <c r="V59"/>
  <c r="AI59" s="1"/>
  <c r="AI51"/>
  <c r="W51"/>
  <c r="X51" s="1"/>
  <c r="AJ57"/>
  <c r="AK57" s="1"/>
  <c r="U59"/>
  <c r="AH59" s="1"/>
  <c r="AH51"/>
  <c r="X57"/>
  <c r="N42"/>
  <c r="L18"/>
  <c r="L19" s="1"/>
  <c r="B60" l="1"/>
  <c r="K60" s="1"/>
  <c r="K64" s="1"/>
  <c r="K71" s="1"/>
  <c r="H74" s="1"/>
  <c r="H73"/>
  <c r="W59"/>
  <c r="AJ59" s="1"/>
  <c r="AK59" s="1"/>
  <c r="AJ51"/>
  <c r="AK51" s="1"/>
  <c r="X59"/>
  <c r="O42"/>
  <c r="B64" l="1"/>
  <c r="B71" s="1"/>
  <c r="C49" s="1"/>
  <c r="C71" s="1"/>
  <c r="D49" s="1"/>
  <c r="D71" s="1"/>
  <c r="E49" s="1"/>
  <c r="E71" s="1"/>
  <c r="F49" s="1"/>
  <c r="F71" s="1"/>
  <c r="G49" s="1"/>
  <c r="G71" s="1"/>
  <c r="H49" s="1"/>
  <c r="H71" s="1"/>
  <c r="I49" s="1"/>
  <c r="I71" s="1"/>
  <c r="J49" s="1"/>
  <c r="J71" s="1"/>
  <c r="P42"/>
  <c r="L49" l="1"/>
  <c r="L71" s="1"/>
  <c r="X49"/>
  <c r="X71" s="1"/>
  <c r="Q42"/>
  <c r="H75" l="1"/>
  <c r="AK49"/>
  <c r="AK71" s="1"/>
  <c r="M49"/>
  <c r="R42"/>
  <c r="H76" l="1"/>
  <c r="B84" s="1"/>
  <c r="C79"/>
  <c r="M71"/>
  <c r="S42"/>
  <c r="B83" l="1"/>
  <c r="C80"/>
  <c r="N49"/>
  <c r="T42"/>
  <c r="N71" l="1"/>
  <c r="U42"/>
  <c r="O49" l="1"/>
  <c r="V42"/>
  <c r="O71" l="1"/>
  <c r="W42"/>
  <c r="Y42" l="1"/>
  <c r="Z42" s="1"/>
  <c r="AA42" s="1"/>
  <c r="AB42" s="1"/>
  <c r="AC42" s="1"/>
  <c r="AD42" s="1"/>
  <c r="AE42" s="1"/>
  <c r="AF42" s="1"/>
  <c r="AG42" s="1"/>
  <c r="AH42" s="1"/>
  <c r="AI42" s="1"/>
  <c r="AJ42" s="1"/>
  <c r="AK42"/>
  <c r="C76" s="1"/>
  <c r="P49"/>
  <c r="B77" l="1"/>
  <c r="P71"/>
  <c r="Q49" l="1"/>
  <c r="Q71" l="1"/>
  <c r="R49" l="1"/>
  <c r="R71" l="1"/>
  <c r="S49" l="1"/>
  <c r="S71" l="1"/>
  <c r="T49" l="1"/>
  <c r="T71" l="1"/>
  <c r="U49" l="1"/>
  <c r="U71" l="1"/>
  <c r="V49" l="1"/>
  <c r="V71" l="1"/>
  <c r="W49" l="1"/>
  <c r="W71" l="1"/>
  <c r="Y49" s="1"/>
  <c r="Y71" s="1"/>
  <c r="Z49" s="1"/>
  <c r="Z71" s="1"/>
  <c r="AA49" s="1"/>
  <c r="AA71" s="1"/>
  <c r="AB49" s="1"/>
  <c r="AB71" s="1"/>
  <c r="AC49" s="1"/>
  <c r="AC71" s="1"/>
  <c r="AD49" s="1"/>
  <c r="AD71" s="1"/>
  <c r="AE49" s="1"/>
  <c r="AE71" s="1"/>
  <c r="AF49" s="1"/>
  <c r="AF71" s="1"/>
  <c r="AG49" s="1"/>
  <c r="AG71" s="1"/>
  <c r="AH49" s="1"/>
  <c r="AH71" s="1"/>
  <c r="AI49" s="1"/>
  <c r="AI71" s="1"/>
  <c r="AJ49" s="1"/>
  <c r="AJ71" s="1"/>
</calcChain>
</file>

<file path=xl/sharedStrings.xml><?xml version="1.0" encoding="utf-8"?>
<sst xmlns="http://schemas.openxmlformats.org/spreadsheetml/2006/main" count="659" uniqueCount="196">
  <si>
    <t>Покупка и установка клеток</t>
  </si>
  <si>
    <t>май</t>
  </si>
  <si>
    <t>Постройка сарая</t>
  </si>
  <si>
    <t>Покупка кроликов</t>
  </si>
  <si>
    <t>июнь</t>
  </si>
  <si>
    <t>июль</t>
  </si>
  <si>
    <t>Второй окрол</t>
  </si>
  <si>
    <t>август</t>
  </si>
  <si>
    <t xml:space="preserve">Отсаживание молодника </t>
  </si>
  <si>
    <t>сентябрь</t>
  </si>
  <si>
    <t>декаб</t>
  </si>
  <si>
    <t>Первое спаривание</t>
  </si>
  <si>
    <t>Спаривание</t>
  </si>
  <si>
    <t>март</t>
  </si>
  <si>
    <t>апрель</t>
  </si>
  <si>
    <t>Второе спаривание</t>
  </si>
  <si>
    <t>Третье спаривание</t>
  </si>
  <si>
    <t>сент</t>
  </si>
  <si>
    <t>Обучение</t>
  </si>
  <si>
    <t xml:space="preserve">Рождение кроликов </t>
  </si>
  <si>
    <t>Первый окрол</t>
  </si>
  <si>
    <t>Третий окрол</t>
  </si>
  <si>
    <t>ноябрь</t>
  </si>
  <si>
    <t>январь</t>
  </si>
  <si>
    <t>февраль</t>
  </si>
  <si>
    <t>Реализация кроликов</t>
  </si>
  <si>
    <t>октябрь</t>
  </si>
  <si>
    <t>Производственный план на 2016-2017 годы</t>
  </si>
  <si>
    <t>Рождение крольчат и общее кол-во кроликов</t>
  </si>
  <si>
    <t>Крол</t>
  </si>
  <si>
    <t>Крольчихи</t>
  </si>
  <si>
    <t>Крольчата</t>
  </si>
  <si>
    <t>Итого в месяц</t>
  </si>
  <si>
    <t>Принято для расчета</t>
  </si>
  <si>
    <t>крол</t>
  </si>
  <si>
    <t>крольчата</t>
  </si>
  <si>
    <t>декабрь</t>
  </si>
  <si>
    <t>крольчиха 1/10</t>
  </si>
  <si>
    <t>Кролики на откорме</t>
  </si>
  <si>
    <t>трава</t>
  </si>
  <si>
    <t>концент</t>
  </si>
  <si>
    <t>лето</t>
  </si>
  <si>
    <t>сено</t>
  </si>
  <si>
    <t>соч.корм</t>
  </si>
  <si>
    <t>концет</t>
  </si>
  <si>
    <t>сол/мел</t>
  </si>
  <si>
    <t>зима</t>
  </si>
  <si>
    <t>Рацион кроликов,гр</t>
  </si>
  <si>
    <t>Самец и самка отдых</t>
  </si>
  <si>
    <t>Самец в период случки</t>
  </si>
  <si>
    <t>Самка сукрольная</t>
  </si>
  <si>
    <t>Молдая самка сукрольная</t>
  </si>
  <si>
    <t>возраст 4-7 м-в</t>
  </si>
  <si>
    <t>Подсосные самки</t>
  </si>
  <si>
    <t>Первая половина подсоса</t>
  </si>
  <si>
    <t>Вторая половина пососа</t>
  </si>
  <si>
    <t>доп. на кажд.крольчонка</t>
  </si>
  <si>
    <t>Молодняк</t>
  </si>
  <si>
    <t>1-2 месяца</t>
  </si>
  <si>
    <t>2-3 месяца</t>
  </si>
  <si>
    <t>3-4 месяца</t>
  </si>
  <si>
    <t>4-5 месяцев</t>
  </si>
  <si>
    <t>Крольчиха</t>
  </si>
  <si>
    <t>Крольчата 1-2 мес.</t>
  </si>
  <si>
    <t>Крольчата 2-3 мес.</t>
  </si>
  <si>
    <t>Крольчата 3-4 мес.</t>
  </si>
  <si>
    <t>Крольчата 4-5 мес.</t>
  </si>
  <si>
    <t>Всего кормов</t>
  </si>
  <si>
    <t>Сено</t>
  </si>
  <si>
    <t>Концетр.</t>
  </si>
  <si>
    <t>Соль</t>
  </si>
  <si>
    <t>Стоимость кормов,кг/руб.</t>
  </si>
  <si>
    <t>Всего</t>
  </si>
  <si>
    <t>лето(июнь-сентябрь)</t>
  </si>
  <si>
    <t>зима(январь-май, октб,нояб, дек.)</t>
  </si>
  <si>
    <t>Вода,гр.</t>
  </si>
  <si>
    <t>Среднее</t>
  </si>
  <si>
    <t>Крольчата 1-2 мес</t>
  </si>
  <si>
    <t>Крольчата 2-3 мес</t>
  </si>
  <si>
    <t>Крольчата 3-4 мес</t>
  </si>
  <si>
    <t>Крольчата 4-5 мес</t>
  </si>
  <si>
    <t>Всего сена</t>
  </si>
  <si>
    <t>Всего соли</t>
  </si>
  <si>
    <t>Всего корма</t>
  </si>
  <si>
    <t>Всего воды</t>
  </si>
  <si>
    <t>Расчет сочного корма, гр.</t>
  </si>
  <si>
    <t>Расчет расхода воды, гр.</t>
  </si>
  <si>
    <t>Расчет колличества сена, гр.</t>
  </si>
  <si>
    <t>Расчет колличества соли, гр.</t>
  </si>
  <si>
    <t>Расчет колличества трава(лето),гр.</t>
  </si>
  <si>
    <t>Стоимость мяса кролика, руб/кг.</t>
  </si>
  <si>
    <t>Средний вес тушки кролика, кг.</t>
  </si>
  <si>
    <t>Выручка от реализации кроликов, руб.</t>
  </si>
  <si>
    <t>Мясо кроликов</t>
  </si>
  <si>
    <t>Кол-во кроликов для реализации, шт.</t>
  </si>
  <si>
    <t>Расходы на корма</t>
  </si>
  <si>
    <t>концентраты</t>
  </si>
  <si>
    <t>соль</t>
  </si>
  <si>
    <t>Электричество</t>
  </si>
  <si>
    <t>Транспортные расходы</t>
  </si>
  <si>
    <t>Стоимость транспортных расходов(трава),руб.</t>
  </si>
  <si>
    <t>Прочие расходы</t>
  </si>
  <si>
    <t>кВт/час.</t>
  </si>
  <si>
    <t>Электричество, кВт.</t>
  </si>
  <si>
    <t>Реклама</t>
  </si>
  <si>
    <t>Всего расходов</t>
  </si>
  <si>
    <t>Инвестиции в бизнес.</t>
  </si>
  <si>
    <t>Необходимый материал для строительства одной трехъярусной клетки.</t>
  </si>
  <si>
    <t>Доска ,м3</t>
  </si>
  <si>
    <t>Кол-во</t>
  </si>
  <si>
    <t>Цена</t>
  </si>
  <si>
    <t>Стоим-ть</t>
  </si>
  <si>
    <t>Сетка-рабица,м2</t>
  </si>
  <si>
    <t>Оцинков. лист,м2</t>
  </si>
  <si>
    <t>Защелки, шт.</t>
  </si>
  <si>
    <t>Завесы,шт</t>
  </si>
  <si>
    <t>Дополнительное оборудование</t>
  </si>
  <si>
    <t>Всего на одну клетку</t>
  </si>
  <si>
    <t>Необходимое кол-во клеток</t>
  </si>
  <si>
    <t xml:space="preserve">Всего затрат </t>
  </si>
  <si>
    <t>План доходов и расходов</t>
  </si>
  <si>
    <t>Проценты по кредиту</t>
  </si>
  <si>
    <t>Валовая прибыль</t>
  </si>
  <si>
    <t>Выручка</t>
  </si>
  <si>
    <t>Себестоимость</t>
  </si>
  <si>
    <t>Прибыль до налогообложения</t>
  </si>
  <si>
    <t>Налог на прибыль</t>
  </si>
  <si>
    <t>Чистая прибыль</t>
  </si>
  <si>
    <t>Чистая прибыль нараст</t>
  </si>
  <si>
    <t>итогом</t>
  </si>
  <si>
    <t xml:space="preserve">   от текущей деятельности</t>
  </si>
  <si>
    <t xml:space="preserve">   от реализации проекта</t>
  </si>
  <si>
    <t>Итого</t>
  </si>
  <si>
    <t>Сумма кредита,руб.</t>
  </si>
  <si>
    <t>Бюджет движения денежных средств</t>
  </si>
  <si>
    <t>Остаток на начало периода</t>
  </si>
  <si>
    <t>Поступление от деятельности</t>
  </si>
  <si>
    <t>Расходы от деятельности</t>
  </si>
  <si>
    <t xml:space="preserve">    расходы на корма</t>
  </si>
  <si>
    <t xml:space="preserve">    электричество</t>
  </si>
  <si>
    <t xml:space="preserve">    реклама</t>
  </si>
  <si>
    <t xml:space="preserve">    прочие расходы</t>
  </si>
  <si>
    <t>Денежные средства от деятельности</t>
  </si>
  <si>
    <t>Расходы по инвестиц.деятельности</t>
  </si>
  <si>
    <t>Денежные средства от инв.деят-ти</t>
  </si>
  <si>
    <t>Поступления по фин.деят-ти</t>
  </si>
  <si>
    <t xml:space="preserve">    получение грантов</t>
  </si>
  <si>
    <t>Расходование по финансовой дет-ти</t>
  </si>
  <si>
    <t xml:space="preserve">    оплата кредитов</t>
  </si>
  <si>
    <t>Денежные средства от фин. деят-ти</t>
  </si>
  <si>
    <t>Остаток на конец периода</t>
  </si>
  <si>
    <t>Дополнительные средства(кассовый разрыв)</t>
  </si>
  <si>
    <t>Всего необходимо средств для развития проекта</t>
  </si>
  <si>
    <t>Кролики</t>
  </si>
  <si>
    <t xml:space="preserve">    оборудование</t>
  </si>
  <si>
    <t xml:space="preserve">    налоги от деятельности</t>
  </si>
  <si>
    <t xml:space="preserve">    проценты по кредиту</t>
  </si>
  <si>
    <t>Ставка дисконтирования</t>
  </si>
  <si>
    <t>Дисконтированный срок окупаемости</t>
  </si>
  <si>
    <t xml:space="preserve">Выручка, руб. </t>
  </si>
  <si>
    <t>Чистая прибыль, руб.</t>
  </si>
  <si>
    <t>NPV проекта, руб.</t>
  </si>
  <si>
    <t>IRR проекта, %</t>
  </si>
  <si>
    <t>Риски проекта</t>
  </si>
  <si>
    <t>Снижение стоимости мяса</t>
  </si>
  <si>
    <t>Рентабельность продаж, %</t>
  </si>
  <si>
    <t xml:space="preserve">    Выручка, руб.</t>
  </si>
  <si>
    <t xml:space="preserve">    Чистая прибыль, руб.</t>
  </si>
  <si>
    <t xml:space="preserve">    Рентабельность продаж, %</t>
  </si>
  <si>
    <t xml:space="preserve">    Выручка, руб</t>
  </si>
  <si>
    <t xml:space="preserve"> Денежный поток, руб.</t>
  </si>
  <si>
    <t>начальные вложения</t>
  </si>
  <si>
    <t>остаток на конец 2016 г.</t>
  </si>
  <si>
    <t>остаток на конец 2017 г.</t>
  </si>
  <si>
    <t>остаток на конец 2018 г.</t>
  </si>
  <si>
    <t>коэффициент дисконтирования</t>
  </si>
  <si>
    <t>Срок окупаемости,мес.</t>
  </si>
  <si>
    <t>0.74794</t>
  </si>
  <si>
    <t xml:space="preserve">Горизонт планирования </t>
  </si>
  <si>
    <t>3 года</t>
  </si>
  <si>
    <t>Финансовые показатели</t>
  </si>
  <si>
    <t>Дисконтированный денежный поток, руб.</t>
  </si>
  <si>
    <t xml:space="preserve">    Простой срок окупаемости, мес.</t>
  </si>
  <si>
    <t>Увеличение стоимости кормов</t>
  </si>
  <si>
    <t xml:space="preserve">    Простой срок окупаемости, год</t>
  </si>
  <si>
    <t>период</t>
  </si>
  <si>
    <t>дата</t>
  </si>
  <si>
    <t>-</t>
  </si>
  <si>
    <t>Расчет колличества концентрата(корм), гр.</t>
  </si>
  <si>
    <t>Расчет  затрат, руб.</t>
  </si>
  <si>
    <t>1 год</t>
  </si>
  <si>
    <t>2 год</t>
  </si>
  <si>
    <t>3 год</t>
  </si>
  <si>
    <t>Поступления от инвестицион.деят.</t>
  </si>
  <si>
    <t xml:space="preserve">    транспортные расходы</t>
  </si>
  <si>
    <t xml:space="preserve">    прочее внебюджетное финансирование 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</si>
</sst>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0.0000"/>
  </numFmts>
  <fonts count="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4" xfId="0" applyFill="1" applyBorder="1"/>
    <xf numFmtId="0" fontId="0" fillId="2" borderId="0" xfId="0" applyFill="1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Fill="1" applyBorder="1"/>
    <xf numFmtId="0" fontId="0" fillId="2" borderId="1" xfId="0" applyFill="1" applyBorder="1"/>
    <xf numFmtId="0" fontId="0" fillId="0" borderId="2" xfId="0" applyFill="1" applyBorder="1"/>
    <xf numFmtId="0" fontId="0" fillId="2" borderId="2" xfId="0" applyFill="1" applyBorder="1"/>
    <xf numFmtId="0" fontId="0" fillId="0" borderId="4" xfId="0" applyFill="1" applyBorder="1"/>
    <xf numFmtId="0" fontId="0" fillId="0" borderId="7" xfId="0" applyFill="1" applyBorder="1"/>
    <xf numFmtId="0" fontId="0" fillId="2" borderId="7" xfId="0" applyFill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/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3" borderId="0" xfId="0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" fontId="0" fillId="0" borderId="13" xfId="0" applyNumberFormat="1" applyBorder="1"/>
    <xf numFmtId="1" fontId="0" fillId="0" borderId="14" xfId="0" applyNumberFormat="1" applyBorder="1"/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2" xfId="0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" fontId="0" fillId="4" borderId="14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/>
    <xf numFmtId="0" fontId="3" fillId="0" borderId="0" xfId="0" applyFont="1"/>
    <xf numFmtId="9" fontId="0" fillId="0" borderId="0" xfId="0" applyNumberFormat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0" fillId="0" borderId="12" xfId="0" applyFill="1" applyBorder="1" applyAlignment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0" fillId="0" borderId="17" xfId="0" applyBorder="1"/>
    <xf numFmtId="1" fontId="3" fillId="5" borderId="17" xfId="0" applyNumberFormat="1" applyFont="1" applyFill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0" fillId="5" borderId="17" xfId="0" applyNumberFormat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5" borderId="17" xfId="0" applyNumberForma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1" fontId="3" fillId="5" borderId="18" xfId="0" applyNumberFormat="1" applyFon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1" fontId="0" fillId="5" borderId="18" xfId="0" applyNumberForma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1" fontId="3" fillId="5" borderId="20" xfId="0" applyNumberFormat="1" applyFont="1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" fontId="0" fillId="5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1" fontId="3" fillId="5" borderId="22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0" fillId="5" borderId="22" xfId="0" applyNumberFormat="1" applyFill="1" applyBorder="1" applyAlignment="1">
      <alignment horizontal="center"/>
    </xf>
    <xf numFmtId="1" fontId="0" fillId="5" borderId="23" xfId="0" applyNumberForma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6" borderId="17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5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9" fontId="0" fillId="0" borderId="17" xfId="0" applyNumberFormat="1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2" xfId="0" applyBorder="1"/>
    <xf numFmtId="0" fontId="0" fillId="0" borderId="33" xfId="0" applyBorder="1"/>
    <xf numFmtId="0" fontId="3" fillId="5" borderId="27" xfId="0" applyFont="1" applyFill="1" applyBorder="1"/>
    <xf numFmtId="0" fontId="3" fillId="0" borderId="27" xfId="0" applyFont="1" applyBorder="1"/>
    <xf numFmtId="0" fontId="0" fillId="0" borderId="27" xfId="0" applyFont="1" applyBorder="1"/>
    <xf numFmtId="0" fontId="3" fillId="0" borderId="29" xfId="0" applyFont="1" applyBorder="1"/>
    <xf numFmtId="1" fontId="0" fillId="0" borderId="3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1" fontId="0" fillId="0" borderId="35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/>
    </xf>
    <xf numFmtId="0" fontId="3" fillId="5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5" borderId="29" xfId="0" applyFont="1" applyFill="1" applyBorder="1"/>
    <xf numFmtId="0" fontId="0" fillId="5" borderId="30" xfId="0" applyFill="1" applyBorder="1" applyAlignment="1">
      <alignment horizontal="center"/>
    </xf>
    <xf numFmtId="1" fontId="0" fillId="5" borderId="30" xfId="0" applyNumberFormat="1" applyFill="1" applyBorder="1" applyAlignment="1">
      <alignment horizontal="center"/>
    </xf>
    <xf numFmtId="1" fontId="0" fillId="5" borderId="34" xfId="0" applyNumberFormat="1" applyFill="1" applyBorder="1" applyAlignment="1">
      <alignment horizontal="center"/>
    </xf>
    <xf numFmtId="1" fontId="0" fillId="5" borderId="35" xfId="0" applyNumberFormat="1" applyFill="1" applyBorder="1" applyAlignment="1">
      <alignment horizontal="center"/>
    </xf>
    <xf numFmtId="1" fontId="0" fillId="0" borderId="5" xfId="0" applyNumberFormat="1" applyBorder="1"/>
    <xf numFmtId="3" fontId="0" fillId="0" borderId="0" xfId="0" applyNumberFormat="1"/>
    <xf numFmtId="1" fontId="3" fillId="5" borderId="35" xfId="0" applyNumberFormat="1" applyFont="1" applyFill="1" applyBorder="1" applyAlignment="1">
      <alignment horizontal="center"/>
    </xf>
    <xf numFmtId="1" fontId="3" fillId="5" borderId="38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5" borderId="37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0" fontId="0" fillId="0" borderId="39" xfId="0" applyBorder="1"/>
    <xf numFmtId="0" fontId="0" fillId="0" borderId="42" xfId="0" applyBorder="1"/>
    <xf numFmtId="0" fontId="0" fillId="0" borderId="19" xfId="0" applyBorder="1" applyAlignment="1">
      <alignment horizontal="center"/>
    </xf>
    <xf numFmtId="1" fontId="0" fillId="0" borderId="19" xfId="0" applyNumberFormat="1" applyBorder="1"/>
    <xf numFmtId="0" fontId="0" fillId="0" borderId="43" xfId="0" applyBorder="1"/>
    <xf numFmtId="1" fontId="0" fillId="0" borderId="19" xfId="0" applyNumberFormat="1" applyBorder="1" applyAlignment="1">
      <alignment horizontal="center"/>
    </xf>
    <xf numFmtId="0" fontId="0" fillId="0" borderId="19" xfId="0" applyBorder="1"/>
    <xf numFmtId="0" fontId="0" fillId="0" borderId="39" xfId="0" applyBorder="1" applyAlignment="1">
      <alignment horizontal="center"/>
    </xf>
    <xf numFmtId="0" fontId="0" fillId="0" borderId="37" xfId="0" applyBorder="1"/>
    <xf numFmtId="1" fontId="0" fillId="0" borderId="39" xfId="0" applyNumberFormat="1" applyBorder="1" applyAlignment="1">
      <alignment horizontal="center"/>
    </xf>
    <xf numFmtId="0" fontId="0" fillId="0" borderId="17" xfId="0" applyBorder="1" applyAlignment="1"/>
    <xf numFmtId="0" fontId="0" fillId="0" borderId="30" xfId="0" applyBorder="1" applyAlignment="1"/>
    <xf numFmtId="8" fontId="0" fillId="0" borderId="0" xfId="0" applyNumberFormat="1"/>
    <xf numFmtId="1" fontId="6" fillId="0" borderId="20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" fontId="0" fillId="0" borderId="42" xfId="0" applyNumberFormat="1" applyBorder="1"/>
    <xf numFmtId="1" fontId="0" fillId="0" borderId="40" xfId="0" applyNumberFormat="1" applyBorder="1" applyAlignment="1">
      <alignment horizontal="center"/>
    </xf>
    <xf numFmtId="1" fontId="0" fillId="0" borderId="41" xfId="0" applyNumberFormat="1" applyBorder="1"/>
    <xf numFmtId="0" fontId="5" fillId="0" borderId="4" xfId="0" applyFont="1" applyFill="1" applyBorder="1" applyAlignment="1">
      <alignment horizontal="left"/>
    </xf>
    <xf numFmtId="14" fontId="0" fillId="0" borderId="17" xfId="0" applyNumberFormat="1" applyBorder="1"/>
    <xf numFmtId="0" fontId="5" fillId="0" borderId="27" xfId="0" applyFont="1" applyFill="1" applyBorder="1" applyAlignment="1">
      <alignment horizontal="left"/>
    </xf>
    <xf numFmtId="164" fontId="0" fillId="0" borderId="28" xfId="0" applyNumberFormat="1" applyBorder="1"/>
    <xf numFmtId="14" fontId="0" fillId="0" borderId="30" xfId="0" applyNumberFormat="1" applyBorder="1"/>
    <xf numFmtId="164" fontId="0" fillId="0" borderId="31" xfId="0" applyNumberFormat="1" applyBorder="1"/>
    <xf numFmtId="0" fontId="0" fillId="0" borderId="17" xfId="0" applyFill="1" applyBorder="1"/>
    <xf numFmtId="0" fontId="0" fillId="0" borderId="17" xfId="0" applyFill="1" applyBorder="1" applyAlignment="1"/>
    <xf numFmtId="9" fontId="0" fillId="0" borderId="28" xfId="0" applyNumberFormat="1" applyFill="1" applyBorder="1"/>
    <xf numFmtId="0" fontId="0" fillId="0" borderId="28" xfId="0" applyFill="1" applyBorder="1"/>
    <xf numFmtId="0" fontId="0" fillId="0" borderId="28" xfId="0" applyFill="1" applyBorder="1" applyAlignment="1"/>
    <xf numFmtId="0" fontId="0" fillId="0" borderId="17" xfId="0" applyNumberFormat="1" applyBorder="1"/>
    <xf numFmtId="9" fontId="0" fillId="0" borderId="25" xfId="0" applyNumberFormat="1" applyBorder="1"/>
    <xf numFmtId="9" fontId="0" fillId="0" borderId="25" xfId="0" applyNumberFormat="1" applyFill="1" applyBorder="1"/>
    <xf numFmtId="9" fontId="0" fillId="0" borderId="26" xfId="0" applyNumberFormat="1" applyBorder="1"/>
    <xf numFmtId="0" fontId="0" fillId="0" borderId="28" xfId="0" applyBorder="1" applyAlignment="1">
      <alignment horizontal="center"/>
    </xf>
    <xf numFmtId="0" fontId="0" fillId="0" borderId="28" xfId="0" applyNumberFormat="1" applyBorder="1"/>
    <xf numFmtId="0" fontId="0" fillId="8" borderId="0" xfId="0" applyFill="1" applyAlignment="1">
      <alignment horizontal="center"/>
    </xf>
    <xf numFmtId="1" fontId="0" fillId="8" borderId="8" xfId="0" applyNumberFormat="1" applyFill="1" applyBorder="1"/>
    <xf numFmtId="1" fontId="0" fillId="8" borderId="23" xfId="0" applyNumberFormat="1" applyFill="1" applyBorder="1" applyAlignment="1">
      <alignment horizontal="center"/>
    </xf>
    <xf numFmtId="1" fontId="0" fillId="7" borderId="22" xfId="0" applyNumberFormat="1" applyFill="1" applyBorder="1" applyAlignment="1">
      <alignment horizontal="center"/>
    </xf>
    <xf numFmtId="3" fontId="5" fillId="8" borderId="44" xfId="0" applyNumberFormat="1" applyFont="1" applyFill="1" applyBorder="1" applyAlignment="1">
      <alignment horizontal="center" vertical="center"/>
    </xf>
    <xf numFmtId="3" fontId="5" fillId="8" borderId="37" xfId="0" applyNumberFormat="1" applyFont="1" applyFill="1" applyBorder="1" applyAlignment="1">
      <alignment horizontal="center"/>
    </xf>
    <xf numFmtId="3" fontId="5" fillId="8" borderId="38" xfId="0" applyNumberFormat="1" applyFont="1" applyFill="1" applyBorder="1" applyAlignment="1">
      <alignment horizontal="center"/>
    </xf>
    <xf numFmtId="0" fontId="0" fillId="0" borderId="0" xfId="0" applyFill="1"/>
    <xf numFmtId="0" fontId="0" fillId="4" borderId="17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8" xfId="0" applyNumberFormat="1" applyFill="1" applyBorder="1" applyAlignment="1">
      <alignment horizontal="center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0" borderId="30" xfId="0" applyNumberFormat="1" applyBorder="1" applyAlignment="1"/>
    <xf numFmtId="0" fontId="0" fillId="0" borderId="30" xfId="0" applyNumberFormat="1" applyBorder="1"/>
    <xf numFmtId="0" fontId="0" fillId="0" borderId="31" xfId="0" applyNumberFormat="1" applyBorder="1"/>
    <xf numFmtId="0" fontId="6" fillId="9" borderId="9" xfId="0" applyFont="1" applyFill="1" applyBorder="1"/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/>
    <xf numFmtId="0" fontId="0" fillId="9" borderId="25" xfId="0" applyFill="1" applyBorder="1"/>
    <xf numFmtId="0" fontId="0" fillId="9" borderId="26" xfId="0" applyFill="1" applyBorder="1"/>
    <xf numFmtId="0" fontId="6" fillId="9" borderId="24" xfId="0" applyFont="1" applyFill="1" applyBorder="1"/>
    <xf numFmtId="0" fontId="6" fillId="0" borderId="27" xfId="0" applyFont="1" applyBorder="1"/>
    <xf numFmtId="0" fontId="6" fillId="0" borderId="24" xfId="0" applyFont="1" applyBorder="1"/>
    <xf numFmtId="0" fontId="1" fillId="0" borderId="6" xfId="0" applyFont="1" applyBorder="1"/>
    <xf numFmtId="1" fontId="0" fillId="0" borderId="6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1" fillId="0" borderId="24" xfId="0" applyFont="1" applyBorder="1"/>
    <xf numFmtId="1" fontId="4" fillId="0" borderId="28" xfId="0" applyNumberFormat="1" applyFont="1" applyBorder="1" applyAlignment="1">
      <alignment horizontal="center"/>
    </xf>
    <xf numFmtId="0" fontId="1" fillId="0" borderId="27" xfId="0" applyFont="1" applyBorder="1"/>
    <xf numFmtId="0" fontId="1" fillId="0" borderId="28" xfId="0" applyFont="1" applyBorder="1" applyAlignment="1">
      <alignment horizontal="center"/>
    </xf>
    <xf numFmtId="0" fontId="0" fillId="0" borderId="15" xfId="0" applyBorder="1"/>
    <xf numFmtId="1" fontId="1" fillId="0" borderId="47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" fillId="2" borderId="1" xfId="0" applyFont="1" applyFill="1" applyBorder="1"/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5" borderId="49" xfId="0" applyFont="1" applyFill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/>
    <xf numFmtId="0" fontId="0" fillId="0" borderId="46" xfId="0" applyBorder="1" applyAlignment="1"/>
    <xf numFmtId="0" fontId="0" fillId="10" borderId="4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9" fontId="0" fillId="7" borderId="43" xfId="0" applyNumberForma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/>
    </xf>
    <xf numFmtId="0" fontId="0" fillId="0" borderId="26" xfId="0" applyBorder="1" applyAlignment="1"/>
    <xf numFmtId="0" fontId="5" fillId="0" borderId="27" xfId="0" applyFont="1" applyFill="1" applyBorder="1" applyAlignment="1">
      <alignment horizontal="left"/>
    </xf>
    <xf numFmtId="0" fontId="0" fillId="0" borderId="28" xfId="0" applyBorder="1" applyAlignment="1"/>
    <xf numFmtId="0" fontId="5" fillId="0" borderId="29" xfId="0" applyFont="1" applyFill="1" applyBorder="1" applyAlignment="1">
      <alignment horizontal="left"/>
    </xf>
    <xf numFmtId="0" fontId="0" fillId="0" borderId="31" xfId="0" applyBorder="1" applyAlignment="1"/>
    <xf numFmtId="9" fontId="0" fillId="0" borderId="39" xfId="0" applyNumberFormat="1" applyBorder="1" applyAlignment="1">
      <alignment horizontal="center"/>
    </xf>
    <xf numFmtId="0" fontId="0" fillId="0" borderId="19" xfId="0" applyBorder="1" applyAlignment="1"/>
    <xf numFmtId="0" fontId="0" fillId="0" borderId="37" xfId="0" applyBorder="1" applyAlignment="1"/>
    <xf numFmtId="9" fontId="0" fillId="0" borderId="3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" fontId="0" fillId="7" borderId="39" xfId="0" applyNumberFormat="1" applyFill="1" applyBorder="1" applyAlignment="1">
      <alignment horizontal="center" vertical="center"/>
    </xf>
    <xf numFmtId="1" fontId="0" fillId="7" borderId="19" xfId="0" applyNumberFormat="1" applyFill="1" applyBorder="1" applyAlignment="1">
      <alignment horizontal="center" vertical="center"/>
    </xf>
    <xf numFmtId="1" fontId="0" fillId="7" borderId="37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ECFF"/>
      <color rgb="FF66FF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5"/>
  <sheetViews>
    <sheetView topLeftCell="A37" workbookViewId="0">
      <selection activeCell="AM117" sqref="AM117"/>
    </sheetView>
  </sheetViews>
  <sheetFormatPr defaultRowHeight="15"/>
  <cols>
    <col min="1" max="1" width="9.140625" customWidth="1"/>
    <col min="18" max="18" width="10.140625" customWidth="1"/>
  </cols>
  <sheetData>
    <row r="1" spans="1:37" ht="15.75" thickBot="1">
      <c r="A1" t="s">
        <v>27</v>
      </c>
    </row>
    <row r="2" spans="1:37" ht="15.75" thickBot="1">
      <c r="A2" s="13"/>
      <c r="B2" s="14"/>
      <c r="C2" s="15"/>
      <c r="D2" s="14"/>
      <c r="E2" s="14"/>
      <c r="F2" s="14"/>
      <c r="G2" s="14"/>
      <c r="H2" s="14" t="s">
        <v>190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 t="s">
        <v>191</v>
      </c>
      <c r="U2" s="14"/>
      <c r="V2" s="14"/>
      <c r="W2" s="14"/>
      <c r="X2" s="14"/>
      <c r="Y2" s="15"/>
      <c r="Z2" s="14"/>
      <c r="AA2" s="14"/>
      <c r="AB2" s="14"/>
      <c r="AC2" s="14"/>
      <c r="AD2" s="14"/>
      <c r="AE2" s="14"/>
      <c r="AF2" s="14" t="s">
        <v>192</v>
      </c>
      <c r="AG2" s="14"/>
      <c r="AH2" s="14"/>
      <c r="AI2" s="14"/>
      <c r="AJ2" s="14"/>
      <c r="AK2" s="15"/>
    </row>
    <row r="3" spans="1:37" ht="15.75" thickBot="1">
      <c r="A3" s="1"/>
      <c r="B3" s="2"/>
      <c r="C3" s="3"/>
      <c r="D3" s="13" t="s">
        <v>14</v>
      </c>
      <c r="E3" s="14" t="s">
        <v>1</v>
      </c>
      <c r="F3" s="14" t="s">
        <v>4</v>
      </c>
      <c r="G3" s="14" t="s">
        <v>5</v>
      </c>
      <c r="H3" s="14" t="s">
        <v>7</v>
      </c>
      <c r="I3" s="14" t="s">
        <v>9</v>
      </c>
      <c r="J3" s="14" t="s">
        <v>26</v>
      </c>
      <c r="K3" s="14" t="s">
        <v>22</v>
      </c>
      <c r="L3" s="15" t="s">
        <v>10</v>
      </c>
      <c r="M3" s="14"/>
      <c r="N3" s="13" t="s">
        <v>23</v>
      </c>
      <c r="O3" s="14" t="s">
        <v>24</v>
      </c>
      <c r="P3" s="14" t="s">
        <v>13</v>
      </c>
      <c r="Q3" s="14" t="s">
        <v>14</v>
      </c>
      <c r="R3" s="14" t="s">
        <v>1</v>
      </c>
      <c r="S3" s="14" t="s">
        <v>4</v>
      </c>
      <c r="T3" s="14" t="s">
        <v>5</v>
      </c>
      <c r="U3" s="14" t="s">
        <v>7</v>
      </c>
      <c r="V3" s="14" t="s">
        <v>17</v>
      </c>
      <c r="W3" s="14" t="s">
        <v>26</v>
      </c>
      <c r="X3" s="14" t="s">
        <v>22</v>
      </c>
      <c r="Y3" s="15" t="s">
        <v>10</v>
      </c>
      <c r="Z3" s="13" t="s">
        <v>23</v>
      </c>
      <c r="AA3" s="14" t="s">
        <v>24</v>
      </c>
      <c r="AB3" s="14" t="s">
        <v>13</v>
      </c>
      <c r="AC3" s="14" t="s">
        <v>14</v>
      </c>
      <c r="AD3" s="14" t="s">
        <v>1</v>
      </c>
      <c r="AE3" s="14" t="s">
        <v>4</v>
      </c>
      <c r="AF3" s="14" t="s">
        <v>5</v>
      </c>
      <c r="AG3" s="14" t="s">
        <v>7</v>
      </c>
      <c r="AH3" s="14" t="s">
        <v>17</v>
      </c>
      <c r="AI3" s="14" t="s">
        <v>26</v>
      </c>
      <c r="AJ3" s="14" t="s">
        <v>22</v>
      </c>
      <c r="AK3" s="15" t="s">
        <v>10</v>
      </c>
    </row>
    <row r="4" spans="1:37">
      <c r="A4" s="4" t="s">
        <v>0</v>
      </c>
      <c r="B4" s="5"/>
      <c r="C4" s="6"/>
      <c r="D4" s="10"/>
      <c r="E4" s="12"/>
      <c r="F4" s="5"/>
      <c r="G4" s="5"/>
      <c r="H4" s="5"/>
      <c r="I4" s="5"/>
      <c r="J4" s="5"/>
      <c r="K4" s="5"/>
      <c r="L4" s="6"/>
      <c r="M4" s="5"/>
      <c r="N4" s="4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4"/>
      <c r="AA4" s="5"/>
      <c r="AB4" s="5"/>
      <c r="AC4" s="5"/>
      <c r="AD4" s="5"/>
      <c r="AE4" s="5"/>
      <c r="AF4" s="5"/>
      <c r="AG4" s="5"/>
      <c r="AH4" s="5"/>
      <c r="AI4" s="5"/>
      <c r="AJ4" s="5"/>
      <c r="AK4" s="6"/>
    </row>
    <row r="5" spans="1:37">
      <c r="A5" s="4" t="s">
        <v>2</v>
      </c>
      <c r="B5" s="5"/>
      <c r="C5" s="6"/>
      <c r="D5" s="10"/>
      <c r="E5" s="12"/>
      <c r="F5" s="5"/>
      <c r="G5" s="5"/>
      <c r="H5" s="5"/>
      <c r="I5" s="5"/>
      <c r="J5" s="5"/>
      <c r="K5" s="5"/>
      <c r="L5" s="6"/>
      <c r="M5" s="5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6"/>
      <c r="Z5" s="4"/>
      <c r="AA5" s="5"/>
      <c r="AB5" s="5"/>
      <c r="AC5" s="5"/>
      <c r="AD5" s="5"/>
      <c r="AE5" s="5"/>
      <c r="AF5" s="5"/>
      <c r="AG5" s="5"/>
      <c r="AH5" s="5"/>
      <c r="AI5" s="5"/>
      <c r="AJ5" s="5"/>
      <c r="AK5" s="6"/>
    </row>
    <row r="6" spans="1:37">
      <c r="A6" s="4" t="s">
        <v>18</v>
      </c>
      <c r="B6" s="5"/>
      <c r="C6" s="6"/>
      <c r="D6" s="10"/>
      <c r="E6" s="12"/>
      <c r="F6" s="5"/>
      <c r="G6" s="5"/>
      <c r="H6" s="5"/>
      <c r="I6" s="5"/>
      <c r="J6" s="5"/>
      <c r="K6" s="5"/>
      <c r="L6" s="6"/>
      <c r="M6" s="5"/>
      <c r="N6" s="4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4"/>
      <c r="AA6" s="5"/>
      <c r="AB6" s="5"/>
      <c r="AC6" s="5"/>
      <c r="AD6" s="5"/>
      <c r="AE6" s="5"/>
      <c r="AF6" s="5"/>
      <c r="AG6" s="5"/>
      <c r="AH6" s="5"/>
      <c r="AI6" s="5"/>
      <c r="AJ6" s="5"/>
      <c r="AK6" s="6"/>
    </row>
    <row r="7" spans="1:37">
      <c r="A7" s="4" t="s">
        <v>3</v>
      </c>
      <c r="B7" s="5"/>
      <c r="C7" s="6"/>
      <c r="D7" s="10"/>
      <c r="E7" s="12"/>
      <c r="F7" s="5"/>
      <c r="G7" s="5"/>
      <c r="H7" s="5"/>
      <c r="I7" s="5"/>
      <c r="J7" s="5"/>
      <c r="K7" s="5"/>
      <c r="L7" s="6"/>
      <c r="M7" s="5"/>
      <c r="N7" s="4"/>
      <c r="O7" s="5"/>
      <c r="P7" s="5"/>
      <c r="Q7" s="5"/>
      <c r="R7" s="5"/>
      <c r="S7" s="5"/>
      <c r="T7" s="5"/>
      <c r="U7" s="5"/>
      <c r="V7" s="5"/>
      <c r="W7" s="5"/>
      <c r="X7" s="5"/>
      <c r="Y7" s="6"/>
      <c r="Z7" s="4"/>
      <c r="AA7" s="5"/>
      <c r="AB7" s="5"/>
      <c r="AC7" s="5"/>
      <c r="AD7" s="5"/>
      <c r="AE7" s="5"/>
      <c r="AF7" s="5"/>
      <c r="AG7" s="5"/>
      <c r="AH7" s="5"/>
      <c r="AI7" s="5"/>
      <c r="AJ7" s="5"/>
      <c r="AK7" s="6"/>
    </row>
    <row r="8" spans="1:37">
      <c r="A8" s="4" t="s">
        <v>11</v>
      </c>
      <c r="B8" s="5"/>
      <c r="C8" s="6"/>
      <c r="D8" s="20"/>
      <c r="E8" s="11"/>
      <c r="F8" s="12"/>
      <c r="G8" s="5"/>
      <c r="H8" s="5"/>
      <c r="I8" s="5"/>
      <c r="J8" s="5"/>
      <c r="K8" s="5"/>
      <c r="L8" s="6"/>
      <c r="M8" s="5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6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6"/>
    </row>
    <row r="9" spans="1:37">
      <c r="A9" s="4" t="s">
        <v>19</v>
      </c>
      <c r="B9" s="5"/>
      <c r="C9" s="6"/>
      <c r="D9" s="4"/>
      <c r="E9" s="5"/>
      <c r="F9" s="40"/>
      <c r="G9" s="12"/>
      <c r="H9" s="12"/>
      <c r="I9" s="5"/>
      <c r="J9" s="5"/>
      <c r="K9" s="5"/>
      <c r="L9" s="6"/>
      <c r="M9" s="5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6"/>
      <c r="Z9" s="4"/>
      <c r="AA9" s="5"/>
      <c r="AB9" s="5"/>
      <c r="AC9" s="5"/>
      <c r="AD9" s="5"/>
      <c r="AE9" s="5"/>
      <c r="AF9" s="5"/>
      <c r="AG9" s="5"/>
      <c r="AH9" s="5"/>
      <c r="AI9" s="5"/>
      <c r="AJ9" s="5"/>
      <c r="AK9" s="6"/>
    </row>
    <row r="10" spans="1:37">
      <c r="A10" s="4" t="s">
        <v>12</v>
      </c>
      <c r="B10" s="5"/>
      <c r="C10" s="6"/>
      <c r="D10" s="4"/>
      <c r="E10" s="5"/>
      <c r="F10" s="5"/>
      <c r="G10" s="12"/>
      <c r="H10" s="11"/>
      <c r="I10" s="5"/>
      <c r="J10" s="5"/>
      <c r="K10" s="5"/>
      <c r="L10" s="6"/>
      <c r="M10" s="5"/>
      <c r="N10" s="4"/>
      <c r="O10" s="5"/>
      <c r="P10" s="5"/>
      <c r="Q10" s="5"/>
      <c r="R10" s="5"/>
      <c r="S10" s="5"/>
      <c r="T10" s="5"/>
      <c r="U10" s="5"/>
      <c r="V10" s="5"/>
      <c r="W10" s="5"/>
      <c r="X10" s="5"/>
      <c r="Y10" s="6"/>
      <c r="Z10" s="4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6"/>
    </row>
    <row r="11" spans="1:37">
      <c r="A11" s="4" t="s">
        <v>8</v>
      </c>
      <c r="B11" s="5"/>
      <c r="C11" s="6"/>
      <c r="D11" s="4"/>
      <c r="E11" s="5"/>
      <c r="F11" s="5"/>
      <c r="G11" s="5"/>
      <c r="H11" s="11"/>
      <c r="I11" s="12"/>
      <c r="J11" s="12"/>
      <c r="K11" s="5"/>
      <c r="L11" s="6"/>
      <c r="M11" s="5"/>
      <c r="N11" s="4"/>
      <c r="O11" s="5"/>
      <c r="P11" s="5"/>
      <c r="Q11" s="5"/>
      <c r="R11" s="5"/>
      <c r="S11" s="5"/>
      <c r="T11" s="5"/>
      <c r="U11" s="5"/>
      <c r="V11" s="5"/>
      <c r="W11" s="5"/>
      <c r="X11" s="5"/>
      <c r="Y11" s="6"/>
      <c r="Z11" s="4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6"/>
    </row>
    <row r="12" spans="1:37">
      <c r="A12" s="4" t="s">
        <v>6</v>
      </c>
      <c r="B12" s="5"/>
      <c r="C12" s="6"/>
      <c r="D12" s="4"/>
      <c r="E12" s="5"/>
      <c r="F12" s="5"/>
      <c r="G12" s="5"/>
      <c r="H12" s="5"/>
      <c r="I12" s="40"/>
      <c r="J12" s="12"/>
      <c r="K12" s="12"/>
      <c r="L12" s="6"/>
      <c r="M12" s="5"/>
      <c r="N12" s="4"/>
      <c r="O12" s="5"/>
      <c r="P12" s="5"/>
      <c r="Q12" s="5"/>
      <c r="R12" s="5"/>
      <c r="S12" s="5"/>
      <c r="T12" s="5"/>
      <c r="U12" s="5"/>
      <c r="V12" s="5"/>
      <c r="W12" s="5"/>
      <c r="X12" s="5"/>
      <c r="Y12" s="6"/>
      <c r="Z12" s="4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/>
    </row>
    <row r="13" spans="1:37" ht="15.75" thickBot="1">
      <c r="A13" s="4" t="s">
        <v>25</v>
      </c>
      <c r="B13" s="5"/>
      <c r="C13" s="6"/>
      <c r="D13" s="4"/>
      <c r="E13" s="5"/>
      <c r="F13" s="5"/>
      <c r="G13" s="5"/>
      <c r="H13" s="5"/>
      <c r="I13" s="5"/>
      <c r="J13" s="5"/>
      <c r="K13" s="11"/>
      <c r="L13" s="16"/>
      <c r="M13" s="12"/>
      <c r="N13" s="4"/>
      <c r="O13" s="5"/>
      <c r="P13" s="5"/>
      <c r="Q13" s="5"/>
      <c r="R13" s="5"/>
      <c r="S13" s="5"/>
      <c r="T13" s="5"/>
      <c r="U13" s="5"/>
      <c r="V13" s="5"/>
      <c r="W13" s="5"/>
      <c r="X13" s="5"/>
      <c r="Y13" s="6"/>
      <c r="Z13" s="4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/>
    </row>
    <row r="14" spans="1:37">
      <c r="A14" s="1" t="s">
        <v>25</v>
      </c>
      <c r="B14" s="2"/>
      <c r="C14" s="3"/>
      <c r="D14" s="1"/>
      <c r="E14" s="2"/>
      <c r="F14" s="2"/>
      <c r="G14" s="2"/>
      <c r="H14" s="2"/>
      <c r="I14" s="2"/>
      <c r="J14" s="2"/>
      <c r="K14" s="2"/>
      <c r="L14" s="3"/>
      <c r="M14" s="2"/>
      <c r="N14" s="17"/>
      <c r="O14" s="19"/>
      <c r="P14" s="18"/>
      <c r="Q14" s="2"/>
      <c r="R14" s="2"/>
      <c r="S14" s="2"/>
      <c r="T14" s="2"/>
      <c r="U14" s="2"/>
      <c r="V14" s="2"/>
      <c r="W14" s="2"/>
      <c r="X14" s="2"/>
      <c r="Y14" s="3"/>
      <c r="Z14" s="17"/>
      <c r="AA14" s="19"/>
      <c r="AB14" s="18"/>
      <c r="AC14" s="2"/>
      <c r="AD14" s="2"/>
      <c r="AE14" s="2"/>
      <c r="AF14" s="2"/>
      <c r="AG14" s="2"/>
      <c r="AH14" s="2"/>
      <c r="AI14" s="2"/>
      <c r="AJ14" s="2"/>
      <c r="AK14" s="3"/>
    </row>
    <row r="15" spans="1:37">
      <c r="A15" s="4" t="s">
        <v>12</v>
      </c>
      <c r="B15" s="5"/>
      <c r="C15" s="6"/>
      <c r="D15" s="4"/>
      <c r="E15" s="5"/>
      <c r="F15" s="5"/>
      <c r="G15" s="5"/>
      <c r="H15" s="5"/>
      <c r="I15" s="5"/>
      <c r="J15" s="5"/>
      <c r="K15" s="5"/>
      <c r="L15" s="6"/>
      <c r="M15" s="5"/>
      <c r="N15" s="20"/>
      <c r="O15" s="12"/>
      <c r="P15" s="11"/>
      <c r="Q15" s="5"/>
      <c r="R15" s="5"/>
      <c r="S15" s="5"/>
      <c r="T15" s="5"/>
      <c r="U15" s="5"/>
      <c r="V15" s="5"/>
      <c r="W15" s="5"/>
      <c r="X15" s="5"/>
      <c r="Y15" s="6"/>
      <c r="Z15" s="20"/>
      <c r="AA15" s="12"/>
      <c r="AB15" s="11"/>
      <c r="AC15" s="5"/>
      <c r="AD15" s="5"/>
      <c r="AE15" s="5"/>
      <c r="AF15" s="5"/>
      <c r="AG15" s="5"/>
      <c r="AH15" s="5"/>
      <c r="AI15" s="5"/>
      <c r="AJ15" s="5"/>
      <c r="AK15" s="6"/>
    </row>
    <row r="16" spans="1:37">
      <c r="A16" s="4" t="s">
        <v>20</v>
      </c>
      <c r="B16" s="5"/>
      <c r="C16" s="6"/>
      <c r="D16" s="4"/>
      <c r="E16" s="5"/>
      <c r="F16" s="5"/>
      <c r="G16" s="5"/>
      <c r="H16" s="5"/>
      <c r="I16" s="5"/>
      <c r="J16" s="5"/>
      <c r="K16" s="5"/>
      <c r="L16" s="6"/>
      <c r="M16" s="5"/>
      <c r="N16" s="4"/>
      <c r="O16" s="5"/>
      <c r="P16" s="12"/>
      <c r="Q16" s="40"/>
      <c r="R16" s="5"/>
      <c r="S16" s="5"/>
      <c r="T16" s="5"/>
      <c r="U16" s="5"/>
      <c r="V16" s="5"/>
      <c r="W16" s="5"/>
      <c r="X16" s="5"/>
      <c r="Y16" s="6"/>
      <c r="Z16" s="4"/>
      <c r="AA16" s="5"/>
      <c r="AB16" s="12"/>
      <c r="AC16" s="40"/>
      <c r="AD16" s="5"/>
      <c r="AE16" s="5"/>
      <c r="AF16" s="5"/>
      <c r="AG16" s="5"/>
      <c r="AH16" s="5"/>
      <c r="AI16" s="5"/>
      <c r="AJ16" s="5"/>
      <c r="AK16" s="6"/>
    </row>
    <row r="17" spans="1:39">
      <c r="A17" s="4" t="s">
        <v>8</v>
      </c>
      <c r="B17" s="5"/>
      <c r="C17" s="6"/>
      <c r="D17" s="4"/>
      <c r="E17" s="5"/>
      <c r="F17" s="5"/>
      <c r="G17" s="5"/>
      <c r="H17" s="5"/>
      <c r="I17" s="5"/>
      <c r="J17" s="5"/>
      <c r="K17" s="5"/>
      <c r="L17" s="6"/>
      <c r="M17" s="5"/>
      <c r="N17" s="4"/>
      <c r="O17" s="5"/>
      <c r="P17" s="12"/>
      <c r="Q17" s="12"/>
      <c r="R17" s="11"/>
      <c r="S17" s="5"/>
      <c r="T17" s="5"/>
      <c r="U17" s="5"/>
      <c r="V17" s="5"/>
      <c r="W17" s="5"/>
      <c r="X17" s="5"/>
      <c r="Y17" s="6"/>
      <c r="Z17" s="4"/>
      <c r="AA17" s="5"/>
      <c r="AB17" s="12"/>
      <c r="AC17" s="12"/>
      <c r="AD17" s="11"/>
      <c r="AE17" s="5"/>
      <c r="AF17" s="5"/>
      <c r="AG17" s="5"/>
      <c r="AH17" s="5"/>
      <c r="AI17" s="5"/>
      <c r="AJ17" s="5"/>
      <c r="AK17" s="6"/>
    </row>
    <row r="18" spans="1:39">
      <c r="A18" s="4" t="s">
        <v>15</v>
      </c>
      <c r="B18" s="5"/>
      <c r="C18" s="6"/>
      <c r="D18" s="4"/>
      <c r="E18" s="5"/>
      <c r="F18" s="5"/>
      <c r="G18" s="5"/>
      <c r="H18" s="5"/>
      <c r="I18" s="5"/>
      <c r="J18" s="5"/>
      <c r="K18" s="5"/>
      <c r="L18" s="6"/>
      <c r="M18" s="5"/>
      <c r="N18" s="4"/>
      <c r="O18" s="5"/>
      <c r="P18" s="5"/>
      <c r="Q18" s="12"/>
      <c r="R18" s="11"/>
      <c r="S18" s="5"/>
      <c r="T18" s="5"/>
      <c r="U18" s="5"/>
      <c r="V18" s="5"/>
      <c r="W18" s="5"/>
      <c r="X18" s="5"/>
      <c r="Y18" s="6"/>
      <c r="Z18" s="4"/>
      <c r="AA18" s="5"/>
      <c r="AB18" s="5"/>
      <c r="AC18" s="12"/>
      <c r="AD18" s="11"/>
      <c r="AE18" s="5"/>
      <c r="AF18" s="5"/>
      <c r="AG18" s="5"/>
      <c r="AH18" s="5"/>
      <c r="AI18" s="5"/>
      <c r="AJ18" s="5"/>
      <c r="AK18" s="6"/>
    </row>
    <row r="19" spans="1:39">
      <c r="A19" s="4" t="s">
        <v>6</v>
      </c>
      <c r="B19" s="5"/>
      <c r="C19" s="6"/>
      <c r="D19" s="4"/>
      <c r="E19" s="5"/>
      <c r="F19" s="5"/>
      <c r="G19" s="5"/>
      <c r="H19" s="5"/>
      <c r="I19" s="5"/>
      <c r="J19" s="5"/>
      <c r="K19" s="5"/>
      <c r="L19" s="6"/>
      <c r="M19" s="5"/>
      <c r="N19" s="4"/>
      <c r="O19" s="5"/>
      <c r="P19" s="5"/>
      <c r="Q19" s="5"/>
      <c r="R19" s="12"/>
      <c r="S19" s="40"/>
      <c r="T19" s="5"/>
      <c r="U19" s="5"/>
      <c r="V19" s="5"/>
      <c r="W19" s="5"/>
      <c r="X19" s="5"/>
      <c r="Y19" s="6"/>
      <c r="Z19" s="4"/>
      <c r="AA19" s="5"/>
      <c r="AB19" s="5"/>
      <c r="AC19" s="5"/>
      <c r="AD19" s="12"/>
      <c r="AE19" s="40"/>
      <c r="AF19" s="5"/>
      <c r="AG19" s="5"/>
      <c r="AH19" s="5"/>
      <c r="AI19" s="5"/>
      <c r="AJ19" s="5"/>
      <c r="AK19" s="6"/>
    </row>
    <row r="20" spans="1:39">
      <c r="A20" s="4" t="s">
        <v>8</v>
      </c>
      <c r="B20" s="5"/>
      <c r="C20" s="6"/>
      <c r="D20" s="4"/>
      <c r="E20" s="5"/>
      <c r="F20" s="5"/>
      <c r="G20" s="5"/>
      <c r="H20" s="5"/>
      <c r="I20" s="5"/>
      <c r="J20" s="5"/>
      <c r="K20" s="5"/>
      <c r="L20" s="6"/>
      <c r="M20" s="5"/>
      <c r="N20" s="4"/>
      <c r="O20" s="5"/>
      <c r="P20" s="5"/>
      <c r="Q20" s="5"/>
      <c r="R20" s="12"/>
      <c r="S20" s="12"/>
      <c r="T20" s="5"/>
      <c r="U20" s="11"/>
      <c r="V20" s="5"/>
      <c r="W20" s="5"/>
      <c r="X20" s="5"/>
      <c r="Y20" s="6"/>
      <c r="Z20" s="4"/>
      <c r="AA20" s="5"/>
      <c r="AB20" s="5"/>
      <c r="AC20" s="5"/>
      <c r="AD20" s="12"/>
      <c r="AE20" s="12"/>
      <c r="AF20" s="5"/>
      <c r="AG20" s="11"/>
      <c r="AH20" s="5"/>
      <c r="AI20" s="5"/>
      <c r="AJ20" s="5"/>
      <c r="AK20" s="6"/>
    </row>
    <row r="21" spans="1:39">
      <c r="A21" s="4" t="s">
        <v>25</v>
      </c>
      <c r="B21" s="5"/>
      <c r="C21" s="6"/>
      <c r="D21" s="4"/>
      <c r="E21" s="5"/>
      <c r="F21" s="5"/>
      <c r="G21" s="5"/>
      <c r="H21" s="5"/>
      <c r="I21" s="5"/>
      <c r="J21" s="5"/>
      <c r="K21" s="5"/>
      <c r="L21" s="6"/>
      <c r="M21" s="5"/>
      <c r="N21" s="4"/>
      <c r="O21" s="5"/>
      <c r="P21" s="5"/>
      <c r="Q21" s="5"/>
      <c r="R21" s="12"/>
      <c r="S21" s="12"/>
      <c r="T21" s="5"/>
      <c r="U21" s="11"/>
      <c r="V21" s="5"/>
      <c r="W21" s="5"/>
      <c r="X21" s="5"/>
      <c r="Y21" s="6"/>
      <c r="Z21" s="4"/>
      <c r="AA21" s="5"/>
      <c r="AB21" s="5"/>
      <c r="AC21" s="5"/>
      <c r="AD21" s="12"/>
      <c r="AE21" s="12"/>
      <c r="AF21" s="5"/>
      <c r="AG21" s="11"/>
      <c r="AH21" s="5"/>
      <c r="AI21" s="5"/>
      <c r="AJ21" s="5"/>
      <c r="AK21" s="6"/>
    </row>
    <row r="22" spans="1:39">
      <c r="A22" s="4" t="s">
        <v>16</v>
      </c>
      <c r="B22" s="5"/>
      <c r="C22" s="6"/>
      <c r="D22" s="4"/>
      <c r="E22" s="5"/>
      <c r="F22" s="5"/>
      <c r="G22" s="5"/>
      <c r="H22" s="5"/>
      <c r="I22" s="5"/>
      <c r="J22" s="5"/>
      <c r="K22" s="5"/>
      <c r="L22" s="6"/>
      <c r="M22" s="5"/>
      <c r="N22" s="4"/>
      <c r="O22" s="5"/>
      <c r="P22" s="5"/>
      <c r="Q22" s="5"/>
      <c r="R22" s="5"/>
      <c r="S22" s="12"/>
      <c r="T22" s="12"/>
      <c r="U22" s="11"/>
      <c r="V22" s="5"/>
      <c r="W22" s="5"/>
      <c r="X22" s="5"/>
      <c r="Y22" s="6"/>
      <c r="Z22" s="4"/>
      <c r="AA22" s="5"/>
      <c r="AB22" s="5"/>
      <c r="AC22" s="5"/>
      <c r="AD22" s="5"/>
      <c r="AE22" s="12"/>
      <c r="AF22" s="12"/>
      <c r="AG22" s="11"/>
      <c r="AH22" s="5"/>
      <c r="AI22" s="5"/>
      <c r="AJ22" s="5"/>
      <c r="AK22" s="6"/>
    </row>
    <row r="23" spans="1:39">
      <c r="A23" s="4" t="s">
        <v>21</v>
      </c>
      <c r="B23" s="5"/>
      <c r="C23" s="6"/>
      <c r="D23" s="4"/>
      <c r="E23" s="5"/>
      <c r="F23" s="5"/>
      <c r="G23" s="5"/>
      <c r="H23" s="5"/>
      <c r="I23" s="5"/>
      <c r="J23" s="5"/>
      <c r="K23" s="5"/>
      <c r="L23" s="6"/>
      <c r="M23" s="5"/>
      <c r="N23" s="4"/>
      <c r="O23" s="5"/>
      <c r="P23" s="5"/>
      <c r="Q23" s="5"/>
      <c r="R23" s="5"/>
      <c r="S23" s="5"/>
      <c r="T23" s="12"/>
      <c r="U23" s="12"/>
      <c r="V23" s="40"/>
      <c r="W23" s="12"/>
      <c r="X23" s="5"/>
      <c r="Y23" s="6"/>
      <c r="Z23" s="4"/>
      <c r="AA23" s="5"/>
      <c r="AB23" s="5"/>
      <c r="AC23" s="5"/>
      <c r="AD23" s="5"/>
      <c r="AE23" s="5"/>
      <c r="AF23" s="12"/>
      <c r="AG23" s="12"/>
      <c r="AH23" s="40"/>
      <c r="AI23" s="12"/>
      <c r="AJ23" s="5"/>
      <c r="AK23" s="6"/>
    </row>
    <row r="24" spans="1:39">
      <c r="A24" s="4" t="s">
        <v>8</v>
      </c>
      <c r="B24" s="5"/>
      <c r="C24" s="6"/>
      <c r="D24" s="4"/>
      <c r="E24" s="5"/>
      <c r="F24" s="5"/>
      <c r="G24" s="5"/>
      <c r="H24" s="5"/>
      <c r="I24" s="5"/>
      <c r="J24" s="5"/>
      <c r="K24" s="5"/>
      <c r="L24" s="6"/>
      <c r="M24" s="5"/>
      <c r="N24" s="4"/>
      <c r="O24" s="5"/>
      <c r="P24" s="5"/>
      <c r="Q24" s="5"/>
      <c r="R24" s="5"/>
      <c r="S24" s="5"/>
      <c r="T24" s="5"/>
      <c r="U24" s="12"/>
      <c r="V24" s="12"/>
      <c r="W24" s="12"/>
      <c r="X24" s="11"/>
      <c r="Y24" s="6"/>
      <c r="Z24" s="4"/>
      <c r="AA24" s="5"/>
      <c r="AB24" s="5"/>
      <c r="AC24" s="5"/>
      <c r="AD24" s="5"/>
      <c r="AE24" s="5"/>
      <c r="AF24" s="5"/>
      <c r="AG24" s="12"/>
      <c r="AH24" s="12"/>
      <c r="AI24" s="12"/>
      <c r="AJ24" s="11"/>
      <c r="AK24" s="6"/>
    </row>
    <row r="25" spans="1:39" ht="15.75" thickBot="1">
      <c r="A25" s="7" t="s">
        <v>25</v>
      </c>
      <c r="B25" s="8"/>
      <c r="C25" s="9"/>
      <c r="D25" s="7"/>
      <c r="E25" s="8"/>
      <c r="F25" s="8"/>
      <c r="G25" s="8"/>
      <c r="H25" s="8"/>
      <c r="I25" s="8"/>
      <c r="J25" s="8"/>
      <c r="K25" s="8"/>
      <c r="L25" s="9"/>
      <c r="M25" s="8"/>
      <c r="N25" s="7"/>
      <c r="O25" s="8"/>
      <c r="P25" s="8"/>
      <c r="Q25" s="8"/>
      <c r="R25" s="8"/>
      <c r="S25" s="8"/>
      <c r="T25" s="8"/>
      <c r="U25" s="21"/>
      <c r="V25" s="21"/>
      <c r="W25" s="21"/>
      <c r="X25" s="22"/>
      <c r="Y25" s="9"/>
      <c r="Z25" s="7"/>
      <c r="AA25" s="8"/>
      <c r="AB25" s="8"/>
      <c r="AC25" s="8"/>
      <c r="AD25" s="8"/>
      <c r="AE25" s="8"/>
      <c r="AF25" s="8"/>
      <c r="AG25" s="21"/>
      <c r="AH25" s="21"/>
      <c r="AI25" s="21"/>
      <c r="AJ25" s="22"/>
      <c r="AK25" s="9"/>
    </row>
    <row r="26" spans="1:3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2"/>
      <c r="V26" s="12"/>
      <c r="W26" s="12"/>
      <c r="X26" s="12"/>
      <c r="Y26" s="5"/>
    </row>
    <row r="27" spans="1:39">
      <c r="A27" s="12" t="s">
        <v>33</v>
      </c>
      <c r="B27" s="5"/>
      <c r="C27" s="23">
        <v>2016</v>
      </c>
      <c r="D27" s="23">
        <v>2017</v>
      </c>
      <c r="E27" s="23">
        <v>2018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2"/>
      <c r="V27" s="12"/>
      <c r="W27" s="12"/>
      <c r="X27" s="12"/>
      <c r="Y27" s="5"/>
    </row>
    <row r="28" spans="1:39">
      <c r="A28" s="12" t="s">
        <v>34</v>
      </c>
      <c r="B28" s="5"/>
      <c r="C28" s="23">
        <v>5</v>
      </c>
      <c r="D28" s="23">
        <v>5</v>
      </c>
      <c r="E28" s="23">
        <v>5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2"/>
      <c r="V28" s="12"/>
      <c r="W28" s="12"/>
      <c r="X28" s="12"/>
      <c r="Y28" s="5"/>
    </row>
    <row r="29" spans="1:39">
      <c r="A29" s="12" t="s">
        <v>37</v>
      </c>
      <c r="B29" s="5"/>
      <c r="C29" s="23">
        <f>C28*10</f>
        <v>50</v>
      </c>
      <c r="D29" s="23">
        <f>D28*10</f>
        <v>50</v>
      </c>
      <c r="E29" s="23">
        <f>E28*10</f>
        <v>50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2"/>
      <c r="V29" s="12"/>
      <c r="W29" s="12"/>
      <c r="X29" s="12"/>
      <c r="Y29" s="5"/>
    </row>
    <row r="30" spans="1:39">
      <c r="A30" s="12" t="s">
        <v>35</v>
      </c>
      <c r="B30" s="5"/>
      <c r="C30" s="23">
        <f>C29*7</f>
        <v>350</v>
      </c>
      <c r="D30" s="23">
        <f>D29*7</f>
        <v>350</v>
      </c>
      <c r="E30" s="23">
        <f>E29*7</f>
        <v>350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2"/>
      <c r="V30" s="12"/>
      <c r="W30" s="12"/>
      <c r="X30" s="12"/>
      <c r="Y30" s="5"/>
    </row>
    <row r="31" spans="1:39" ht="15.75" thickBot="1"/>
    <row r="32" spans="1:39" ht="15.75" thickBot="1">
      <c r="A32" t="s">
        <v>28</v>
      </c>
      <c r="D32" s="13"/>
      <c r="E32" s="14"/>
      <c r="F32" s="14"/>
      <c r="G32" s="14"/>
      <c r="H32" s="14" t="s">
        <v>190</v>
      </c>
      <c r="I32" s="14"/>
      <c r="J32" s="14"/>
      <c r="K32" s="14"/>
      <c r="L32" s="14"/>
      <c r="M32" s="15"/>
      <c r="N32" s="13"/>
      <c r="O32" s="14"/>
      <c r="P32" s="14"/>
      <c r="Q32" s="14"/>
      <c r="R32" s="14"/>
      <c r="S32" s="14"/>
      <c r="T32" s="14"/>
      <c r="U32" s="14" t="s">
        <v>191</v>
      </c>
      <c r="V32" s="14"/>
      <c r="W32" s="14"/>
      <c r="X32" s="14"/>
      <c r="Y32" s="14"/>
      <c r="Z32" s="15"/>
      <c r="AA32" s="13"/>
      <c r="AB32" s="14"/>
      <c r="AC32" s="14"/>
      <c r="AD32" s="14"/>
      <c r="AE32" s="14"/>
      <c r="AF32" s="14"/>
      <c r="AG32" s="14"/>
      <c r="AH32" s="14" t="s">
        <v>192</v>
      </c>
      <c r="AI32" s="14"/>
      <c r="AJ32" s="14"/>
      <c r="AK32" s="14"/>
      <c r="AL32" s="14"/>
      <c r="AM32" s="15"/>
    </row>
    <row r="33" spans="1:39" ht="15.75" thickBot="1">
      <c r="A33" s="13"/>
      <c r="B33" s="14"/>
      <c r="C33" s="15"/>
      <c r="D33" s="25" t="s">
        <v>14</v>
      </c>
      <c r="E33" s="25" t="s">
        <v>1</v>
      </c>
      <c r="F33" s="25" t="s">
        <v>4</v>
      </c>
      <c r="G33" s="25" t="s">
        <v>5</v>
      </c>
      <c r="H33" s="25" t="s">
        <v>7</v>
      </c>
      <c r="I33" s="25" t="s">
        <v>9</v>
      </c>
      <c r="J33" s="25" t="s">
        <v>26</v>
      </c>
      <c r="K33" s="25" t="s">
        <v>22</v>
      </c>
      <c r="L33" s="28" t="s">
        <v>36</v>
      </c>
      <c r="M33" s="25" t="s">
        <v>76</v>
      </c>
      <c r="N33" s="80" t="s">
        <v>23</v>
      </c>
      <c r="O33" s="81" t="s">
        <v>24</v>
      </c>
      <c r="P33" s="81" t="s">
        <v>13</v>
      </c>
      <c r="Q33" s="81" t="s">
        <v>14</v>
      </c>
      <c r="R33" s="81" t="s">
        <v>1</v>
      </c>
      <c r="S33" s="81" t="s">
        <v>4</v>
      </c>
      <c r="T33" s="81" t="s">
        <v>5</v>
      </c>
      <c r="U33" s="81" t="s">
        <v>7</v>
      </c>
      <c r="V33" s="81" t="s">
        <v>9</v>
      </c>
      <c r="W33" s="81" t="s">
        <v>26</v>
      </c>
      <c r="X33" s="81" t="s">
        <v>22</v>
      </c>
      <c r="Y33" s="82" t="s">
        <v>36</v>
      </c>
      <c r="Z33" s="83" t="s">
        <v>76</v>
      </c>
      <c r="AA33" s="80" t="s">
        <v>23</v>
      </c>
      <c r="AB33" s="81" t="s">
        <v>24</v>
      </c>
      <c r="AC33" s="81" t="s">
        <v>13</v>
      </c>
      <c r="AD33" s="81" t="s">
        <v>14</v>
      </c>
      <c r="AE33" s="81" t="s">
        <v>1</v>
      </c>
      <c r="AF33" s="81" t="s">
        <v>4</v>
      </c>
      <c r="AG33" s="81" t="s">
        <v>5</v>
      </c>
      <c r="AH33" s="81" t="s">
        <v>7</v>
      </c>
      <c r="AI33" s="81" t="s">
        <v>9</v>
      </c>
      <c r="AJ33" s="81" t="s">
        <v>26</v>
      </c>
      <c r="AK33" s="81" t="s">
        <v>22</v>
      </c>
      <c r="AL33" s="82" t="s">
        <v>36</v>
      </c>
      <c r="AM33" s="83" t="s">
        <v>76</v>
      </c>
    </row>
    <row r="34" spans="1:39">
      <c r="A34" s="4" t="s">
        <v>29</v>
      </c>
      <c r="B34" s="5"/>
      <c r="C34" s="6"/>
      <c r="D34" s="23">
        <f>C28</f>
        <v>5</v>
      </c>
      <c r="E34" s="23">
        <f>C28</f>
        <v>5</v>
      </c>
      <c r="F34" s="23">
        <f>C28</f>
        <v>5</v>
      </c>
      <c r="G34" s="23">
        <f>C28</f>
        <v>5</v>
      </c>
      <c r="H34" s="23">
        <f>C28</f>
        <v>5</v>
      </c>
      <c r="I34" s="23">
        <f>C28</f>
        <v>5</v>
      </c>
      <c r="J34" s="23">
        <f>C28</f>
        <v>5</v>
      </c>
      <c r="K34" s="23">
        <f>C28</f>
        <v>5</v>
      </c>
      <c r="L34" s="27">
        <f>C28</f>
        <v>5</v>
      </c>
      <c r="M34" s="23">
        <v>5</v>
      </c>
      <c r="N34" s="31">
        <f>D28</f>
        <v>5</v>
      </c>
      <c r="O34" s="23">
        <f>D28</f>
        <v>5</v>
      </c>
      <c r="P34" s="23">
        <f>D28</f>
        <v>5</v>
      </c>
      <c r="Q34" s="23">
        <f>D28</f>
        <v>5</v>
      </c>
      <c r="R34" s="23">
        <f>D28</f>
        <v>5</v>
      </c>
      <c r="S34" s="23">
        <f>D28</f>
        <v>5</v>
      </c>
      <c r="T34" s="23">
        <f>D28</f>
        <v>5</v>
      </c>
      <c r="U34" s="23">
        <f>D28</f>
        <v>5</v>
      </c>
      <c r="V34" s="23">
        <f>D28</f>
        <v>5</v>
      </c>
      <c r="W34" s="23">
        <f>D28</f>
        <v>5</v>
      </c>
      <c r="X34" s="23">
        <f>D28</f>
        <v>5</v>
      </c>
      <c r="Y34" s="27">
        <f>D28</f>
        <v>5</v>
      </c>
      <c r="Z34" s="71">
        <v>5</v>
      </c>
      <c r="AA34" s="23">
        <f>E28</f>
        <v>5</v>
      </c>
      <c r="AB34" s="23">
        <f>E28</f>
        <v>5</v>
      </c>
      <c r="AC34" s="23">
        <f>E28</f>
        <v>5</v>
      </c>
      <c r="AD34" s="23">
        <f>E28</f>
        <v>5</v>
      </c>
      <c r="AE34" s="23">
        <f>E28</f>
        <v>5</v>
      </c>
      <c r="AF34" s="23">
        <f>E28</f>
        <v>5</v>
      </c>
      <c r="AG34" s="23">
        <f>E28</f>
        <v>5</v>
      </c>
      <c r="AH34" s="23">
        <f>E28</f>
        <v>5</v>
      </c>
      <c r="AI34" s="23">
        <f>E28</f>
        <v>5</v>
      </c>
      <c r="AJ34" s="23">
        <f>E28</f>
        <v>5</v>
      </c>
      <c r="AK34" s="23">
        <f>E28</f>
        <v>5</v>
      </c>
      <c r="AL34" s="23">
        <f>E28</f>
        <v>5</v>
      </c>
      <c r="AM34" s="71">
        <v>5</v>
      </c>
    </row>
    <row r="35" spans="1:39">
      <c r="A35" s="4" t="s">
        <v>30</v>
      </c>
      <c r="B35" s="5"/>
      <c r="C35" s="6"/>
      <c r="D35" s="23">
        <f>C29</f>
        <v>50</v>
      </c>
      <c r="E35" s="23">
        <f>C29</f>
        <v>50</v>
      </c>
      <c r="F35" s="23">
        <f>C29</f>
        <v>50</v>
      </c>
      <c r="G35" s="23">
        <f>C29</f>
        <v>50</v>
      </c>
      <c r="H35" s="23">
        <f>C29</f>
        <v>50</v>
      </c>
      <c r="I35" s="23">
        <f>C29</f>
        <v>50</v>
      </c>
      <c r="J35" s="23">
        <f>C29</f>
        <v>50</v>
      </c>
      <c r="K35" s="23">
        <f>C29</f>
        <v>50</v>
      </c>
      <c r="L35" s="27">
        <f>C29</f>
        <v>50</v>
      </c>
      <c r="M35" s="23">
        <v>50</v>
      </c>
      <c r="N35" s="31">
        <f>D29</f>
        <v>50</v>
      </c>
      <c r="O35" s="23">
        <f>D29</f>
        <v>50</v>
      </c>
      <c r="P35" s="23">
        <f>D29</f>
        <v>50</v>
      </c>
      <c r="Q35" s="23">
        <f>D29</f>
        <v>50</v>
      </c>
      <c r="R35" s="23">
        <f>D29</f>
        <v>50</v>
      </c>
      <c r="S35" s="23">
        <f>D29</f>
        <v>50</v>
      </c>
      <c r="T35" s="23">
        <f>D29</f>
        <v>50</v>
      </c>
      <c r="U35" s="23">
        <f>D29</f>
        <v>50</v>
      </c>
      <c r="V35" s="23">
        <f>D29</f>
        <v>50</v>
      </c>
      <c r="W35" s="23">
        <f>D29</f>
        <v>50</v>
      </c>
      <c r="X35" s="23">
        <f>D29</f>
        <v>50</v>
      </c>
      <c r="Y35" s="27">
        <f>D29</f>
        <v>50</v>
      </c>
      <c r="Z35" s="71">
        <v>50</v>
      </c>
      <c r="AA35" s="31">
        <f>E29</f>
        <v>50</v>
      </c>
      <c r="AB35" s="23">
        <f>E29</f>
        <v>50</v>
      </c>
      <c r="AC35" s="23">
        <f>E29</f>
        <v>50</v>
      </c>
      <c r="AD35" s="23">
        <f>E29</f>
        <v>50</v>
      </c>
      <c r="AE35" s="23">
        <f>E29</f>
        <v>50</v>
      </c>
      <c r="AF35" s="23">
        <f>E29</f>
        <v>50</v>
      </c>
      <c r="AG35" s="23">
        <f>E29</f>
        <v>50</v>
      </c>
      <c r="AH35" s="23">
        <f>E29</f>
        <v>50</v>
      </c>
      <c r="AI35" s="23">
        <f>E29</f>
        <v>50</v>
      </c>
      <c r="AJ35" s="23">
        <f>E29</f>
        <v>50</v>
      </c>
      <c r="AK35" s="23">
        <f>E29</f>
        <v>50</v>
      </c>
      <c r="AL35" s="23">
        <f>E29</f>
        <v>50</v>
      </c>
      <c r="AM35" s="71">
        <v>50</v>
      </c>
    </row>
    <row r="36" spans="1:39" ht="15.75" thickBot="1">
      <c r="A36" s="4" t="s">
        <v>31</v>
      </c>
      <c r="B36" s="5"/>
      <c r="C36" s="6"/>
      <c r="D36" s="23">
        <v>0</v>
      </c>
      <c r="E36" s="23">
        <v>0</v>
      </c>
      <c r="F36" s="23">
        <f>C30</f>
        <v>350</v>
      </c>
      <c r="G36" s="23">
        <f>C30</f>
        <v>350</v>
      </c>
      <c r="H36" s="23">
        <f>C30</f>
        <v>350</v>
      </c>
      <c r="I36" s="23">
        <f>C30*2</f>
        <v>700</v>
      </c>
      <c r="J36" s="23">
        <f>C30*2</f>
        <v>700</v>
      </c>
      <c r="K36" s="23">
        <f>C30</f>
        <v>350</v>
      </c>
      <c r="L36" s="27">
        <f>C30</f>
        <v>350</v>
      </c>
      <c r="M36" s="23">
        <v>350</v>
      </c>
      <c r="N36" s="31">
        <f>D30/2</f>
        <v>175</v>
      </c>
      <c r="O36" s="23">
        <f>D30/2</f>
        <v>175</v>
      </c>
      <c r="P36" s="23">
        <v>0</v>
      </c>
      <c r="Q36" s="23">
        <f>D30</f>
        <v>350</v>
      </c>
      <c r="R36" s="23">
        <f>D30</f>
        <v>350</v>
      </c>
      <c r="S36" s="23">
        <f>D30*2</f>
        <v>700</v>
      </c>
      <c r="T36" s="23">
        <f>S36</f>
        <v>700</v>
      </c>
      <c r="U36" s="23">
        <f>D30</f>
        <v>350</v>
      </c>
      <c r="V36" s="23">
        <f>D30*2</f>
        <v>700</v>
      </c>
      <c r="W36" s="23">
        <f>V36</f>
        <v>700</v>
      </c>
      <c r="X36" s="23">
        <f>D30</f>
        <v>350</v>
      </c>
      <c r="Y36" s="27">
        <f>X36</f>
        <v>350</v>
      </c>
      <c r="Z36" s="71">
        <v>408</v>
      </c>
      <c r="AA36" s="31">
        <f>E30/2</f>
        <v>175</v>
      </c>
      <c r="AB36" s="23">
        <f>E30/2</f>
        <v>175</v>
      </c>
      <c r="AC36" s="23">
        <v>0</v>
      </c>
      <c r="AD36" s="23">
        <f>E30</f>
        <v>350</v>
      </c>
      <c r="AE36" s="23">
        <f>E30</f>
        <v>350</v>
      </c>
      <c r="AF36" s="23">
        <f>E30*2</f>
        <v>700</v>
      </c>
      <c r="AG36" s="23">
        <f>AF36</f>
        <v>700</v>
      </c>
      <c r="AH36" s="23">
        <f>E30</f>
        <v>350</v>
      </c>
      <c r="AI36" s="23">
        <f>E30*2</f>
        <v>700</v>
      </c>
      <c r="AJ36" s="23">
        <f>AI36</f>
        <v>700</v>
      </c>
      <c r="AK36" s="23">
        <f>E30</f>
        <v>350</v>
      </c>
      <c r="AL36" s="27">
        <f>AK36</f>
        <v>350</v>
      </c>
      <c r="AM36" s="71">
        <v>408</v>
      </c>
    </row>
    <row r="37" spans="1:39" ht="15.75" thickBot="1">
      <c r="A37" s="13" t="s">
        <v>32</v>
      </c>
      <c r="B37" s="14"/>
      <c r="C37" s="15"/>
      <c r="D37" s="25">
        <f t="shared" ref="D37:Y37" si="0">SUM(D34:D36)</f>
        <v>55</v>
      </c>
      <c r="E37" s="25">
        <f t="shared" si="0"/>
        <v>55</v>
      </c>
      <c r="F37" s="25">
        <f t="shared" si="0"/>
        <v>405</v>
      </c>
      <c r="G37" s="25">
        <f t="shared" si="0"/>
        <v>405</v>
      </c>
      <c r="H37" s="25">
        <f t="shared" si="0"/>
        <v>405</v>
      </c>
      <c r="I37" s="25">
        <f t="shared" si="0"/>
        <v>755</v>
      </c>
      <c r="J37" s="25">
        <f t="shared" si="0"/>
        <v>755</v>
      </c>
      <c r="K37" s="25">
        <f t="shared" si="0"/>
        <v>405</v>
      </c>
      <c r="L37" s="28">
        <f t="shared" si="0"/>
        <v>405</v>
      </c>
      <c r="M37" s="25">
        <f>SUM(M34:M36)</f>
        <v>405</v>
      </c>
      <c r="N37" s="35">
        <f t="shared" si="0"/>
        <v>230</v>
      </c>
      <c r="O37" s="25">
        <f t="shared" si="0"/>
        <v>230</v>
      </c>
      <c r="P37" s="25">
        <f t="shared" si="0"/>
        <v>55</v>
      </c>
      <c r="Q37" s="25">
        <f t="shared" si="0"/>
        <v>405</v>
      </c>
      <c r="R37" s="25">
        <f t="shared" si="0"/>
        <v>405</v>
      </c>
      <c r="S37" s="25">
        <f t="shared" si="0"/>
        <v>755</v>
      </c>
      <c r="T37" s="25">
        <f t="shared" si="0"/>
        <v>755</v>
      </c>
      <c r="U37" s="25">
        <f t="shared" si="0"/>
        <v>405</v>
      </c>
      <c r="V37" s="25">
        <f t="shared" si="0"/>
        <v>755</v>
      </c>
      <c r="W37" s="25">
        <f t="shared" si="0"/>
        <v>755</v>
      </c>
      <c r="X37" s="25">
        <f t="shared" si="0"/>
        <v>405</v>
      </c>
      <c r="Y37" s="28">
        <f t="shared" si="0"/>
        <v>405</v>
      </c>
      <c r="Z37" s="84">
        <f>SUM(Z34:Z36)</f>
        <v>463</v>
      </c>
      <c r="AA37" s="35">
        <f t="shared" ref="AA37:AL37" si="1">SUM(AA34:AA36)</f>
        <v>230</v>
      </c>
      <c r="AB37" s="25">
        <f t="shared" si="1"/>
        <v>230</v>
      </c>
      <c r="AC37" s="25">
        <f t="shared" si="1"/>
        <v>55</v>
      </c>
      <c r="AD37" s="25">
        <f t="shared" si="1"/>
        <v>405</v>
      </c>
      <c r="AE37" s="25">
        <f t="shared" si="1"/>
        <v>405</v>
      </c>
      <c r="AF37" s="25">
        <f t="shared" si="1"/>
        <v>755</v>
      </c>
      <c r="AG37" s="25">
        <f t="shared" si="1"/>
        <v>755</v>
      </c>
      <c r="AH37" s="25">
        <f t="shared" si="1"/>
        <v>405</v>
      </c>
      <c r="AI37" s="25">
        <f t="shared" si="1"/>
        <v>755</v>
      </c>
      <c r="AJ37" s="25">
        <f t="shared" si="1"/>
        <v>755</v>
      </c>
      <c r="AK37" s="25">
        <f t="shared" si="1"/>
        <v>405</v>
      </c>
      <c r="AL37" s="28">
        <f t="shared" si="1"/>
        <v>405</v>
      </c>
      <c r="AM37" s="84">
        <f>SUM(AM34:AM36)</f>
        <v>463</v>
      </c>
    </row>
    <row r="40" spans="1:39" ht="15.75" thickBot="1">
      <c r="N40" t="s">
        <v>75</v>
      </c>
      <c r="O40">
        <v>250</v>
      </c>
    </row>
    <row r="41" spans="1:39">
      <c r="A41" s="131" t="s">
        <v>47</v>
      </c>
      <c r="B41" s="132"/>
      <c r="C41" s="132"/>
      <c r="D41" s="250" t="s">
        <v>73</v>
      </c>
      <c r="E41" s="251"/>
      <c r="F41" s="252"/>
      <c r="G41" s="253" t="s">
        <v>74</v>
      </c>
      <c r="H41" s="254"/>
      <c r="I41" s="254"/>
      <c r="J41" s="255"/>
    </row>
    <row r="42" spans="1:39">
      <c r="A42" s="133"/>
      <c r="B42" s="88"/>
      <c r="C42" s="88"/>
      <c r="D42" s="247" t="s">
        <v>41</v>
      </c>
      <c r="E42" s="248"/>
      <c r="F42" s="249"/>
      <c r="G42" s="247" t="s">
        <v>46</v>
      </c>
      <c r="H42" s="248"/>
      <c r="I42" s="248"/>
      <c r="J42" s="256"/>
      <c r="N42" t="s">
        <v>71</v>
      </c>
    </row>
    <row r="43" spans="1:39">
      <c r="A43" s="133"/>
      <c r="B43" s="88"/>
      <c r="C43" s="88"/>
      <c r="D43" s="86" t="s">
        <v>39</v>
      </c>
      <c r="E43" s="88" t="s">
        <v>40</v>
      </c>
      <c r="F43" s="88" t="s">
        <v>45</v>
      </c>
      <c r="G43" s="86" t="s">
        <v>42</v>
      </c>
      <c r="H43" s="88" t="s">
        <v>43</v>
      </c>
      <c r="I43" s="88" t="s">
        <v>44</v>
      </c>
      <c r="J43" s="134" t="s">
        <v>45</v>
      </c>
    </row>
    <row r="44" spans="1:39">
      <c r="A44" s="133" t="s">
        <v>38</v>
      </c>
      <c r="B44" s="88"/>
      <c r="C44" s="88"/>
      <c r="D44" s="86">
        <v>700</v>
      </c>
      <c r="E44" s="86">
        <v>70</v>
      </c>
      <c r="F44" s="86">
        <v>1</v>
      </c>
      <c r="G44" s="208">
        <v>150</v>
      </c>
      <c r="H44" s="208">
        <v>500</v>
      </c>
      <c r="I44" s="208">
        <v>100</v>
      </c>
      <c r="J44" s="210">
        <v>1</v>
      </c>
      <c r="N44" t="s">
        <v>68</v>
      </c>
      <c r="P44" s="200">
        <f>4</f>
        <v>4</v>
      </c>
    </row>
    <row r="45" spans="1:39">
      <c r="A45" s="133" t="s">
        <v>48</v>
      </c>
      <c r="B45" s="88"/>
      <c r="C45" s="88"/>
      <c r="D45" s="86">
        <v>650</v>
      </c>
      <c r="E45" s="86">
        <v>30</v>
      </c>
      <c r="F45" s="86">
        <v>1</v>
      </c>
      <c r="G45" s="208">
        <v>150</v>
      </c>
      <c r="H45" s="208">
        <v>150</v>
      </c>
      <c r="I45" s="208">
        <v>40</v>
      </c>
      <c r="J45" s="210">
        <v>1</v>
      </c>
      <c r="N45" t="s">
        <v>69</v>
      </c>
      <c r="P45" s="200">
        <f>14</f>
        <v>14</v>
      </c>
    </row>
    <row r="46" spans="1:39">
      <c r="A46" s="133" t="s">
        <v>49</v>
      </c>
      <c r="B46" s="88"/>
      <c r="C46" s="88"/>
      <c r="D46" s="86">
        <v>800</v>
      </c>
      <c r="E46" s="86">
        <v>40</v>
      </c>
      <c r="F46" s="86">
        <v>1</v>
      </c>
      <c r="G46" s="208">
        <v>150</v>
      </c>
      <c r="H46" s="208">
        <v>200</v>
      </c>
      <c r="I46" s="208">
        <v>55</v>
      </c>
      <c r="J46" s="210">
        <v>1</v>
      </c>
      <c r="N46" t="s">
        <v>70</v>
      </c>
      <c r="P46" s="200">
        <f>20</f>
        <v>20</v>
      </c>
    </row>
    <row r="47" spans="1:39">
      <c r="A47" s="133" t="s">
        <v>50</v>
      </c>
      <c r="B47" s="88"/>
      <c r="C47" s="88"/>
      <c r="D47" s="86">
        <v>800</v>
      </c>
      <c r="E47" s="86">
        <v>45</v>
      </c>
      <c r="F47" s="86">
        <v>1</v>
      </c>
      <c r="G47" s="208">
        <v>175</v>
      </c>
      <c r="H47" s="208">
        <v>200</v>
      </c>
      <c r="I47" s="208">
        <v>60</v>
      </c>
      <c r="J47" s="210">
        <v>1</v>
      </c>
    </row>
    <row r="48" spans="1:39">
      <c r="A48" s="133" t="s">
        <v>51</v>
      </c>
      <c r="B48" s="88"/>
      <c r="C48" s="88"/>
      <c r="D48" s="86"/>
      <c r="E48" s="86"/>
      <c r="F48" s="86"/>
      <c r="G48" s="208"/>
      <c r="H48" s="208"/>
      <c r="I48" s="208"/>
      <c r="J48" s="210"/>
    </row>
    <row r="49" spans="1:39">
      <c r="A49" s="133" t="s">
        <v>52</v>
      </c>
      <c r="B49" s="88"/>
      <c r="C49" s="88"/>
      <c r="D49" s="86">
        <v>900</v>
      </c>
      <c r="E49" s="86">
        <v>55</v>
      </c>
      <c r="F49" s="86">
        <v>1</v>
      </c>
      <c r="G49" s="208">
        <v>250</v>
      </c>
      <c r="H49" s="208">
        <v>300</v>
      </c>
      <c r="I49" s="208">
        <v>70</v>
      </c>
      <c r="J49" s="210">
        <v>1</v>
      </c>
    </row>
    <row r="50" spans="1:39">
      <c r="A50" s="133" t="s">
        <v>53</v>
      </c>
      <c r="B50" s="88"/>
      <c r="C50" s="88"/>
      <c r="D50" s="86"/>
      <c r="E50" s="86"/>
      <c r="F50" s="86"/>
      <c r="G50" s="208"/>
      <c r="H50" s="208"/>
      <c r="I50" s="208"/>
      <c r="J50" s="210"/>
    </row>
    <row r="51" spans="1:39">
      <c r="A51" s="133" t="s">
        <v>54</v>
      </c>
      <c r="B51" s="88"/>
      <c r="C51" s="88"/>
      <c r="D51" s="86">
        <v>1200</v>
      </c>
      <c r="E51" s="86">
        <v>65</v>
      </c>
      <c r="F51" s="93">
        <v>1.5</v>
      </c>
      <c r="G51" s="208">
        <v>200</v>
      </c>
      <c r="H51" s="208">
        <v>350</v>
      </c>
      <c r="I51" s="208">
        <v>87.5</v>
      </c>
      <c r="J51" s="211">
        <v>1.5</v>
      </c>
    </row>
    <row r="52" spans="1:39">
      <c r="A52" s="133" t="s">
        <v>55</v>
      </c>
      <c r="B52" s="88"/>
      <c r="C52" s="88"/>
      <c r="D52" s="86"/>
      <c r="E52" s="86"/>
      <c r="F52" s="86"/>
      <c r="G52" s="208"/>
      <c r="H52" s="208"/>
      <c r="I52" s="208"/>
      <c r="J52" s="210"/>
    </row>
    <row r="53" spans="1:39">
      <c r="A53" s="133" t="s">
        <v>56</v>
      </c>
      <c r="B53" s="88"/>
      <c r="C53" s="88"/>
      <c r="D53" s="86">
        <v>80</v>
      </c>
      <c r="E53" s="86">
        <v>6</v>
      </c>
      <c r="F53" s="86">
        <v>0</v>
      </c>
      <c r="G53" s="208">
        <v>12</v>
      </c>
      <c r="H53" s="208">
        <v>30</v>
      </c>
      <c r="I53" s="208">
        <v>7</v>
      </c>
      <c r="J53" s="210">
        <v>0</v>
      </c>
    </row>
    <row r="54" spans="1:39">
      <c r="A54" s="133" t="s">
        <v>57</v>
      </c>
      <c r="B54" s="88"/>
      <c r="C54" s="88"/>
      <c r="D54" s="86"/>
      <c r="E54" s="86"/>
      <c r="F54" s="86"/>
      <c r="G54" s="208"/>
      <c r="H54" s="208"/>
      <c r="I54" s="208"/>
      <c r="J54" s="210"/>
    </row>
    <row r="55" spans="1:39">
      <c r="A55" s="133" t="s">
        <v>58</v>
      </c>
      <c r="B55" s="88"/>
      <c r="C55" s="88"/>
      <c r="D55" s="86">
        <v>300</v>
      </c>
      <c r="E55" s="86">
        <v>40</v>
      </c>
      <c r="F55" s="86">
        <v>0.5</v>
      </c>
      <c r="G55" s="208">
        <v>70</v>
      </c>
      <c r="H55" s="208">
        <v>150</v>
      </c>
      <c r="I55" s="208">
        <v>50</v>
      </c>
      <c r="J55" s="210">
        <v>0.5</v>
      </c>
    </row>
    <row r="56" spans="1:39">
      <c r="A56" s="133" t="s">
        <v>59</v>
      </c>
      <c r="B56" s="88"/>
      <c r="C56" s="88"/>
      <c r="D56" s="86">
        <v>400</v>
      </c>
      <c r="E56" s="86">
        <v>50</v>
      </c>
      <c r="F56" s="86">
        <v>0.5</v>
      </c>
      <c r="G56" s="208">
        <v>70</v>
      </c>
      <c r="H56" s="208">
        <v>200</v>
      </c>
      <c r="I56" s="208">
        <v>60</v>
      </c>
      <c r="J56" s="210">
        <v>0.5</v>
      </c>
    </row>
    <row r="57" spans="1:39">
      <c r="A57" s="133" t="s">
        <v>60</v>
      </c>
      <c r="B57" s="88"/>
      <c r="C57" s="88"/>
      <c r="D57" s="86">
        <v>600</v>
      </c>
      <c r="E57" s="86">
        <v>80</v>
      </c>
      <c r="F57" s="86">
        <v>0.5</v>
      </c>
      <c r="G57" s="208">
        <v>120</v>
      </c>
      <c r="H57" s="208">
        <v>250</v>
      </c>
      <c r="I57" s="208">
        <v>90</v>
      </c>
      <c r="J57" s="210">
        <v>0.6</v>
      </c>
    </row>
    <row r="58" spans="1:39" ht="15.75" thickBot="1">
      <c r="A58" s="135" t="s">
        <v>61</v>
      </c>
      <c r="B58" s="212"/>
      <c r="C58" s="212"/>
      <c r="D58" s="213">
        <v>700</v>
      </c>
      <c r="E58" s="213">
        <v>90</v>
      </c>
      <c r="F58" s="213">
        <v>0.5</v>
      </c>
      <c r="G58" s="214">
        <v>135</v>
      </c>
      <c r="H58" s="214">
        <v>300</v>
      </c>
      <c r="I58" s="214">
        <v>100</v>
      </c>
      <c r="J58" s="215">
        <v>0.6</v>
      </c>
    </row>
    <row r="60" spans="1:39" ht="15.75" thickBot="1">
      <c r="A60" t="s">
        <v>89</v>
      </c>
    </row>
    <row r="61" spans="1:39">
      <c r="A61" s="1"/>
      <c r="B61" s="2"/>
      <c r="C61" s="2"/>
      <c r="D61" s="1"/>
      <c r="E61" s="2"/>
      <c r="F61" s="2"/>
      <c r="G61" s="36" t="s">
        <v>190</v>
      </c>
      <c r="H61" s="2"/>
      <c r="I61" s="2"/>
      <c r="J61" s="2"/>
      <c r="K61" s="2"/>
      <c r="L61" s="2"/>
      <c r="M61" s="41" t="s">
        <v>72</v>
      </c>
      <c r="N61" s="1"/>
      <c r="O61" s="2"/>
      <c r="P61" s="2"/>
      <c r="Q61" s="2"/>
      <c r="R61" s="2"/>
      <c r="S61" s="24" t="s">
        <v>191</v>
      </c>
      <c r="T61" s="2"/>
      <c r="U61" s="2"/>
      <c r="V61" s="2"/>
      <c r="W61" s="2"/>
      <c r="X61" s="2"/>
      <c r="Y61" s="3"/>
      <c r="Z61" s="41" t="s">
        <v>72</v>
      </c>
      <c r="AA61" s="1"/>
      <c r="AB61" s="2"/>
      <c r="AC61" s="2"/>
      <c r="AD61" s="2"/>
      <c r="AE61" s="2"/>
      <c r="AF61" s="24" t="s">
        <v>192</v>
      </c>
      <c r="AG61" s="2"/>
      <c r="AH61" s="2"/>
      <c r="AI61" s="2"/>
      <c r="AJ61" s="2"/>
      <c r="AK61" s="2"/>
      <c r="AL61" s="3"/>
      <c r="AM61" s="41" t="s">
        <v>72</v>
      </c>
    </row>
    <row r="62" spans="1:39" ht="15.75" thickBot="1">
      <c r="A62" s="7"/>
      <c r="B62" s="8"/>
      <c r="C62" s="8"/>
      <c r="D62" s="32" t="s">
        <v>14</v>
      </c>
      <c r="E62" s="33" t="s">
        <v>1</v>
      </c>
      <c r="F62" s="33" t="s">
        <v>4</v>
      </c>
      <c r="G62" s="33" t="s">
        <v>5</v>
      </c>
      <c r="H62" s="33" t="s">
        <v>7</v>
      </c>
      <c r="I62" s="33" t="s">
        <v>9</v>
      </c>
      <c r="J62" s="33" t="s">
        <v>26</v>
      </c>
      <c r="K62" s="33" t="s">
        <v>22</v>
      </c>
      <c r="L62" s="33" t="s">
        <v>36</v>
      </c>
      <c r="M62" s="62" t="s">
        <v>190</v>
      </c>
      <c r="N62" s="32" t="s">
        <v>23</v>
      </c>
      <c r="O62" s="33" t="s">
        <v>24</v>
      </c>
      <c r="P62" s="33" t="s">
        <v>13</v>
      </c>
      <c r="Q62" s="33" t="s">
        <v>14</v>
      </c>
      <c r="R62" s="33" t="s">
        <v>1</v>
      </c>
      <c r="S62" s="33" t="s">
        <v>4</v>
      </c>
      <c r="T62" s="33" t="s">
        <v>5</v>
      </c>
      <c r="U62" s="33" t="s">
        <v>7</v>
      </c>
      <c r="V62" s="33" t="s">
        <v>9</v>
      </c>
      <c r="W62" s="33" t="s">
        <v>26</v>
      </c>
      <c r="X62" s="33" t="s">
        <v>22</v>
      </c>
      <c r="Y62" s="34" t="s">
        <v>36</v>
      </c>
      <c r="Z62" s="62" t="s">
        <v>191</v>
      </c>
      <c r="AA62" s="32" t="s">
        <v>23</v>
      </c>
      <c r="AB62" s="33" t="s">
        <v>24</v>
      </c>
      <c r="AC62" s="33" t="s">
        <v>13</v>
      </c>
      <c r="AD62" s="33" t="s">
        <v>14</v>
      </c>
      <c r="AE62" s="33" t="s">
        <v>1</v>
      </c>
      <c r="AF62" s="33" t="s">
        <v>4</v>
      </c>
      <c r="AG62" s="33" t="s">
        <v>5</v>
      </c>
      <c r="AH62" s="33" t="s">
        <v>7</v>
      </c>
      <c r="AI62" s="33" t="s">
        <v>9</v>
      </c>
      <c r="AJ62" s="33" t="s">
        <v>26</v>
      </c>
      <c r="AK62" s="33" t="s">
        <v>22</v>
      </c>
      <c r="AL62" s="34" t="s">
        <v>36</v>
      </c>
      <c r="AM62" s="62" t="s">
        <v>192</v>
      </c>
    </row>
    <row r="63" spans="1:39">
      <c r="A63" s="4" t="s">
        <v>29</v>
      </c>
      <c r="B63" s="5"/>
      <c r="C63" s="6"/>
      <c r="D63" s="46">
        <v>0</v>
      </c>
      <c r="E63" s="46">
        <v>0</v>
      </c>
      <c r="F63" s="38">
        <f>D45*F34*30</f>
        <v>97500</v>
      </c>
      <c r="G63" s="38">
        <f>D44*G34*31</f>
        <v>108500</v>
      </c>
      <c r="H63" s="38">
        <f>D46*H34*31</f>
        <v>124000</v>
      </c>
      <c r="I63" s="38">
        <f>D45*I34*30</f>
        <v>97500</v>
      </c>
      <c r="J63" s="46">
        <v>0</v>
      </c>
      <c r="K63" s="46">
        <v>0</v>
      </c>
      <c r="L63" s="46">
        <v>0</v>
      </c>
      <c r="M63" s="63">
        <f t="shared" ref="M63:M69" si="2">SUM(D63:L63)</f>
        <v>427500</v>
      </c>
      <c r="N63" s="49">
        <v>0</v>
      </c>
      <c r="O63" s="50">
        <v>0</v>
      </c>
      <c r="P63" s="50">
        <v>0</v>
      </c>
      <c r="Q63" s="50">
        <v>0</v>
      </c>
      <c r="R63" s="50">
        <v>0</v>
      </c>
      <c r="S63" s="23">
        <f>D45*S34*30</f>
        <v>97500</v>
      </c>
      <c r="T63" s="23">
        <f>D44*T34*31</f>
        <v>108500</v>
      </c>
      <c r="U63" s="23">
        <f>D46*U34*31</f>
        <v>124000</v>
      </c>
      <c r="V63" s="23">
        <f>D45*V34*30</f>
        <v>97500</v>
      </c>
      <c r="W63" s="51">
        <v>0</v>
      </c>
      <c r="X63" s="51">
        <v>0</v>
      </c>
      <c r="Y63" s="53">
        <v>0</v>
      </c>
      <c r="Z63" s="44">
        <f t="shared" ref="Z63:Z69" si="3">SUM(N63:Y63)</f>
        <v>427500</v>
      </c>
      <c r="AA63" s="49">
        <v>0</v>
      </c>
      <c r="AB63" s="50">
        <v>0</v>
      </c>
      <c r="AC63" s="50">
        <v>0</v>
      </c>
      <c r="AD63" s="50">
        <v>0</v>
      </c>
      <c r="AE63" s="50">
        <v>0</v>
      </c>
      <c r="AF63" s="23">
        <f t="shared" ref="AF63:AI64" si="4">S63</f>
        <v>97500</v>
      </c>
      <c r="AG63" s="23">
        <f t="shared" si="4"/>
        <v>108500</v>
      </c>
      <c r="AH63" s="23">
        <f t="shared" si="4"/>
        <v>124000</v>
      </c>
      <c r="AI63" s="23">
        <f t="shared" si="4"/>
        <v>97500</v>
      </c>
      <c r="AJ63" s="51">
        <v>0</v>
      </c>
      <c r="AK63" s="51">
        <v>0</v>
      </c>
      <c r="AL63" s="53">
        <v>0</v>
      </c>
      <c r="AM63" s="44">
        <f t="shared" ref="AM63:AM69" si="5">SUM(AA63:AL63)</f>
        <v>427500</v>
      </c>
    </row>
    <row r="64" spans="1:39">
      <c r="A64" s="4" t="s">
        <v>62</v>
      </c>
      <c r="B64" s="5"/>
      <c r="C64" s="6"/>
      <c r="D64" s="47">
        <v>0</v>
      </c>
      <c r="E64" s="46">
        <v>0</v>
      </c>
      <c r="F64" s="38">
        <f>D51*F35*30</f>
        <v>1800000</v>
      </c>
      <c r="G64" s="38">
        <f>D44*G35*31</f>
        <v>1085000</v>
      </c>
      <c r="H64" s="38">
        <f>D47*H35*31</f>
        <v>1240000</v>
      </c>
      <c r="I64" s="38">
        <f>D51*I35*30</f>
        <v>1800000</v>
      </c>
      <c r="J64" s="46">
        <v>0</v>
      </c>
      <c r="K64" s="47">
        <v>0</v>
      </c>
      <c r="L64" s="46">
        <v>0</v>
      </c>
      <c r="M64" s="63">
        <f t="shared" si="2"/>
        <v>5925000</v>
      </c>
      <c r="N64" s="49">
        <v>0</v>
      </c>
      <c r="O64" s="50">
        <v>0</v>
      </c>
      <c r="P64" s="50">
        <v>0</v>
      </c>
      <c r="Q64" s="50">
        <v>0</v>
      </c>
      <c r="R64" s="50">
        <v>0</v>
      </c>
      <c r="S64" s="23">
        <f>D51*S35*30</f>
        <v>1800000</v>
      </c>
      <c r="T64" s="23">
        <f>D44*T35*31</f>
        <v>1085000</v>
      </c>
      <c r="U64" s="23">
        <f>D47*U35*31</f>
        <v>1240000</v>
      </c>
      <c r="V64" s="23">
        <f>D51*V35*30</f>
        <v>1800000</v>
      </c>
      <c r="W64" s="51">
        <v>0</v>
      </c>
      <c r="X64" s="51">
        <v>0</v>
      </c>
      <c r="Y64" s="53">
        <v>0</v>
      </c>
      <c r="Z64" s="42">
        <f t="shared" si="3"/>
        <v>5925000</v>
      </c>
      <c r="AA64" s="49">
        <v>0</v>
      </c>
      <c r="AB64" s="50">
        <v>0</v>
      </c>
      <c r="AC64" s="50">
        <v>0</v>
      </c>
      <c r="AD64" s="50">
        <v>0</v>
      </c>
      <c r="AE64" s="50">
        <v>0</v>
      </c>
      <c r="AF64" s="23">
        <f t="shared" si="4"/>
        <v>1800000</v>
      </c>
      <c r="AG64" s="23">
        <f t="shared" si="4"/>
        <v>1085000</v>
      </c>
      <c r="AH64" s="23">
        <f t="shared" si="4"/>
        <v>1240000</v>
      </c>
      <c r="AI64" s="23">
        <f t="shared" si="4"/>
        <v>1800000</v>
      </c>
      <c r="AJ64" s="51">
        <v>0</v>
      </c>
      <c r="AK64" s="51">
        <v>0</v>
      </c>
      <c r="AL64" s="53">
        <v>0</v>
      </c>
      <c r="AM64" s="42">
        <f t="shared" si="5"/>
        <v>5925000</v>
      </c>
    </row>
    <row r="65" spans="1:39">
      <c r="A65" s="4" t="s">
        <v>63</v>
      </c>
      <c r="B65" s="5"/>
      <c r="C65" s="6"/>
      <c r="D65" s="47">
        <v>0</v>
      </c>
      <c r="E65" s="47">
        <v>0</v>
      </c>
      <c r="F65" s="30">
        <f>D53*F36/2*30</f>
        <v>420000</v>
      </c>
      <c r="G65" s="30">
        <f>D55*G36*31</f>
        <v>3255000</v>
      </c>
      <c r="H65" s="30">
        <v>0</v>
      </c>
      <c r="I65" s="30">
        <f>D53*I36/4*30</f>
        <v>420000</v>
      </c>
      <c r="J65" s="47">
        <v>0</v>
      </c>
      <c r="K65" s="47">
        <v>0</v>
      </c>
      <c r="L65" s="47">
        <v>0</v>
      </c>
      <c r="M65" s="64">
        <f t="shared" si="2"/>
        <v>4095000</v>
      </c>
      <c r="N65" s="49">
        <v>0</v>
      </c>
      <c r="O65" s="51">
        <v>0</v>
      </c>
      <c r="P65" s="51">
        <v>0</v>
      </c>
      <c r="Q65" s="51">
        <v>0</v>
      </c>
      <c r="R65" s="51">
        <v>0</v>
      </c>
      <c r="S65" s="29">
        <f>D53*S36/4*30</f>
        <v>420000</v>
      </c>
      <c r="T65" s="23">
        <f>D55*T36/2*31</f>
        <v>3255000</v>
      </c>
      <c r="U65" s="29">
        <v>0</v>
      </c>
      <c r="V65" s="29">
        <f>D53*V36/4*30</f>
        <v>420000</v>
      </c>
      <c r="W65" s="51">
        <v>0</v>
      </c>
      <c r="X65" s="51">
        <v>0</v>
      </c>
      <c r="Y65" s="53">
        <v>0</v>
      </c>
      <c r="Z65" s="42">
        <f t="shared" si="3"/>
        <v>4095000</v>
      </c>
      <c r="AA65" s="49">
        <v>0</v>
      </c>
      <c r="AB65" s="51">
        <v>0</v>
      </c>
      <c r="AC65" s="51">
        <v>0</v>
      </c>
      <c r="AD65" s="51">
        <v>0</v>
      </c>
      <c r="AE65" s="51">
        <v>0</v>
      </c>
      <c r="AF65" s="29">
        <f>S65</f>
        <v>420000</v>
      </c>
      <c r="AG65" s="23">
        <f>T65</f>
        <v>3255000</v>
      </c>
      <c r="AH65" s="29">
        <v>0</v>
      </c>
      <c r="AI65" s="29">
        <f>V65</f>
        <v>420000</v>
      </c>
      <c r="AJ65" s="51">
        <v>0</v>
      </c>
      <c r="AK65" s="51">
        <v>0</v>
      </c>
      <c r="AL65" s="53">
        <v>0</v>
      </c>
      <c r="AM65" s="42">
        <f t="shared" si="5"/>
        <v>4095000</v>
      </c>
    </row>
    <row r="66" spans="1:39">
      <c r="A66" s="4" t="s">
        <v>64</v>
      </c>
      <c r="B66" s="5"/>
      <c r="C66" s="6"/>
      <c r="D66" s="47">
        <v>0</v>
      </c>
      <c r="E66" s="47">
        <v>0</v>
      </c>
      <c r="F66" s="30">
        <v>0</v>
      </c>
      <c r="G66" s="30">
        <v>0</v>
      </c>
      <c r="H66" s="38">
        <f>D56*H36*31</f>
        <v>4340000</v>
      </c>
      <c r="I66" s="30">
        <v>0</v>
      </c>
      <c r="J66" s="47">
        <v>0</v>
      </c>
      <c r="K66" s="46">
        <v>0</v>
      </c>
      <c r="L66" s="47">
        <v>0</v>
      </c>
      <c r="M66" s="64">
        <f t="shared" si="2"/>
        <v>4340000</v>
      </c>
      <c r="N66" s="49">
        <v>0</v>
      </c>
      <c r="O66" s="51">
        <v>0</v>
      </c>
      <c r="P66" s="51">
        <v>0</v>
      </c>
      <c r="Q66" s="51">
        <v>0</v>
      </c>
      <c r="R66" s="51">
        <v>0</v>
      </c>
      <c r="S66" s="23">
        <f>D56*S36/2*30</f>
        <v>4200000</v>
      </c>
      <c r="T66" s="29">
        <v>0</v>
      </c>
      <c r="U66" s="23">
        <f>D56*U36*31</f>
        <v>4340000</v>
      </c>
      <c r="V66" s="29">
        <v>0</v>
      </c>
      <c r="W66" s="51">
        <v>0</v>
      </c>
      <c r="X66" s="51">
        <v>0</v>
      </c>
      <c r="Y66" s="53">
        <v>0</v>
      </c>
      <c r="Z66" s="42">
        <f t="shared" si="3"/>
        <v>8540000</v>
      </c>
      <c r="AA66" s="49">
        <v>0</v>
      </c>
      <c r="AB66" s="51">
        <v>0</v>
      </c>
      <c r="AC66" s="51">
        <v>0</v>
      </c>
      <c r="AD66" s="51">
        <v>0</v>
      </c>
      <c r="AE66" s="51">
        <v>0</v>
      </c>
      <c r="AF66" s="23">
        <f>S66</f>
        <v>4200000</v>
      </c>
      <c r="AG66" s="29">
        <v>0</v>
      </c>
      <c r="AH66" s="23">
        <f>U66</f>
        <v>4340000</v>
      </c>
      <c r="AI66" s="29">
        <v>0</v>
      </c>
      <c r="AJ66" s="51">
        <v>0</v>
      </c>
      <c r="AK66" s="51">
        <v>0</v>
      </c>
      <c r="AL66" s="53">
        <v>0</v>
      </c>
      <c r="AM66" s="42">
        <f t="shared" si="5"/>
        <v>8540000</v>
      </c>
    </row>
    <row r="67" spans="1:39">
      <c r="A67" s="4" t="s">
        <v>65</v>
      </c>
      <c r="B67" s="5"/>
      <c r="C67" s="6"/>
      <c r="D67" s="47">
        <v>0</v>
      </c>
      <c r="E67" s="47">
        <v>0</v>
      </c>
      <c r="F67" s="30">
        <v>0</v>
      </c>
      <c r="G67" s="30">
        <v>0</v>
      </c>
      <c r="H67" s="30">
        <v>0</v>
      </c>
      <c r="I67" s="30">
        <f>D57*I36/2*30</f>
        <v>6300000</v>
      </c>
      <c r="J67" s="47">
        <v>0</v>
      </c>
      <c r="K67" s="47">
        <v>0</v>
      </c>
      <c r="L67" s="46">
        <v>0</v>
      </c>
      <c r="M67" s="63">
        <f t="shared" si="2"/>
        <v>6300000</v>
      </c>
      <c r="N67" s="49">
        <v>0</v>
      </c>
      <c r="O67" s="51">
        <v>0</v>
      </c>
      <c r="P67" s="51">
        <v>0</v>
      </c>
      <c r="Q67" s="51">
        <v>0</v>
      </c>
      <c r="R67" s="51">
        <v>0</v>
      </c>
      <c r="S67" s="29">
        <v>0</v>
      </c>
      <c r="T67" s="23">
        <f>D57*T36/2*31</f>
        <v>6510000</v>
      </c>
      <c r="U67" s="29">
        <v>0</v>
      </c>
      <c r="V67" s="23">
        <f>D57*V36/2*30</f>
        <v>6300000</v>
      </c>
      <c r="W67" s="51">
        <v>0</v>
      </c>
      <c r="X67" s="51">
        <v>0</v>
      </c>
      <c r="Y67" s="53">
        <v>0</v>
      </c>
      <c r="Z67" s="42">
        <f t="shared" si="3"/>
        <v>12810000</v>
      </c>
      <c r="AA67" s="49">
        <v>0</v>
      </c>
      <c r="AB67" s="51">
        <v>0</v>
      </c>
      <c r="AC67" s="51">
        <v>0</v>
      </c>
      <c r="AD67" s="51">
        <v>0</v>
      </c>
      <c r="AE67" s="51">
        <v>0</v>
      </c>
      <c r="AF67" s="29">
        <v>0</v>
      </c>
      <c r="AG67" s="23">
        <f>T67</f>
        <v>6510000</v>
      </c>
      <c r="AH67" s="29">
        <v>0</v>
      </c>
      <c r="AI67" s="23">
        <f>V67</f>
        <v>6300000</v>
      </c>
      <c r="AJ67" s="51">
        <v>0</v>
      </c>
      <c r="AK67" s="51">
        <v>0</v>
      </c>
      <c r="AL67" s="53">
        <v>0</v>
      </c>
      <c r="AM67" s="42">
        <f t="shared" si="5"/>
        <v>12810000</v>
      </c>
    </row>
    <row r="68" spans="1:39" ht="15.75" thickBot="1">
      <c r="A68" s="4" t="s">
        <v>66</v>
      </c>
      <c r="B68" s="5"/>
      <c r="C68" s="6"/>
      <c r="D68" s="47">
        <v>0</v>
      </c>
      <c r="E68" s="47">
        <v>0</v>
      </c>
      <c r="F68" s="30">
        <v>0</v>
      </c>
      <c r="G68" s="30">
        <v>0</v>
      </c>
      <c r="H68" s="30">
        <v>0</v>
      </c>
      <c r="I68" s="30">
        <v>0</v>
      </c>
      <c r="J68" s="46">
        <v>0</v>
      </c>
      <c r="K68" s="47">
        <v>0</v>
      </c>
      <c r="L68" s="47">
        <v>0</v>
      </c>
      <c r="M68" s="64">
        <f t="shared" si="2"/>
        <v>0</v>
      </c>
      <c r="N68" s="49">
        <v>0</v>
      </c>
      <c r="O68" s="51">
        <v>0</v>
      </c>
      <c r="P68" s="51">
        <v>0</v>
      </c>
      <c r="Q68" s="51">
        <v>0</v>
      </c>
      <c r="R68" s="51">
        <v>0</v>
      </c>
      <c r="S68" s="29">
        <v>0</v>
      </c>
      <c r="T68" s="29">
        <v>0</v>
      </c>
      <c r="U68" s="29">
        <f>D58*U36/2*31</f>
        <v>3797500</v>
      </c>
      <c r="V68" s="29">
        <v>0</v>
      </c>
      <c r="W68" s="51">
        <v>0</v>
      </c>
      <c r="X68" s="51">
        <v>0</v>
      </c>
      <c r="Y68" s="53">
        <v>0</v>
      </c>
      <c r="Z68" s="42">
        <f t="shared" si="3"/>
        <v>3797500</v>
      </c>
      <c r="AA68" s="49">
        <v>0</v>
      </c>
      <c r="AB68" s="51">
        <v>0</v>
      </c>
      <c r="AC68" s="51">
        <v>0</v>
      </c>
      <c r="AD68" s="51">
        <v>0</v>
      </c>
      <c r="AE68" s="51">
        <v>0</v>
      </c>
      <c r="AF68" s="29">
        <v>0</v>
      </c>
      <c r="AG68" s="29">
        <v>0</v>
      </c>
      <c r="AH68" s="29">
        <f>U68</f>
        <v>3797500</v>
      </c>
      <c r="AI68" s="29">
        <v>0</v>
      </c>
      <c r="AJ68" s="51">
        <v>0</v>
      </c>
      <c r="AK68" s="51">
        <v>0</v>
      </c>
      <c r="AL68" s="53">
        <v>0</v>
      </c>
      <c r="AM68" s="42">
        <f t="shared" si="5"/>
        <v>3797500</v>
      </c>
    </row>
    <row r="69" spans="1:39" ht="15.75" thickBot="1">
      <c r="A69" s="37" t="s">
        <v>67</v>
      </c>
      <c r="B69" s="14"/>
      <c r="C69" s="15"/>
      <c r="D69" s="48">
        <f t="shared" ref="D69:L69" si="6">SUM(D63:D68)</f>
        <v>0</v>
      </c>
      <c r="E69" s="48">
        <f t="shared" si="6"/>
        <v>0</v>
      </c>
      <c r="F69" s="39">
        <f t="shared" si="6"/>
        <v>2317500</v>
      </c>
      <c r="G69" s="39">
        <f t="shared" si="6"/>
        <v>4448500</v>
      </c>
      <c r="H69" s="39">
        <f t="shared" si="6"/>
        <v>5704000</v>
      </c>
      <c r="I69" s="39">
        <f t="shared" si="6"/>
        <v>8617500</v>
      </c>
      <c r="J69" s="48">
        <f t="shared" si="6"/>
        <v>0</v>
      </c>
      <c r="K69" s="48">
        <f t="shared" si="6"/>
        <v>0</v>
      </c>
      <c r="L69" s="48">
        <f t="shared" si="6"/>
        <v>0</v>
      </c>
      <c r="M69" s="65">
        <f t="shared" si="2"/>
        <v>21087500</v>
      </c>
      <c r="N69" s="52">
        <f t="shared" ref="N69:Y69" si="7">SUM(N63:N68)</f>
        <v>0</v>
      </c>
      <c r="O69" s="48">
        <f t="shared" si="7"/>
        <v>0</v>
      </c>
      <c r="P69" s="48">
        <f t="shared" si="7"/>
        <v>0</v>
      </c>
      <c r="Q69" s="48">
        <f t="shared" si="7"/>
        <v>0</v>
      </c>
      <c r="R69" s="48">
        <f t="shared" si="7"/>
        <v>0</v>
      </c>
      <c r="S69" s="25">
        <f t="shared" si="7"/>
        <v>6517500</v>
      </c>
      <c r="T69" s="25">
        <f t="shared" si="7"/>
        <v>10958500</v>
      </c>
      <c r="U69" s="25">
        <f t="shared" si="7"/>
        <v>9501500</v>
      </c>
      <c r="V69" s="25">
        <f t="shared" si="7"/>
        <v>8617500</v>
      </c>
      <c r="W69" s="54">
        <f t="shared" si="7"/>
        <v>0</v>
      </c>
      <c r="X69" s="54">
        <f t="shared" si="7"/>
        <v>0</v>
      </c>
      <c r="Y69" s="55">
        <f t="shared" si="7"/>
        <v>0</v>
      </c>
      <c r="Z69" s="45">
        <f t="shared" si="3"/>
        <v>35595000</v>
      </c>
      <c r="AA69" s="52">
        <f t="shared" ref="AA69:AL69" si="8">SUM(AA63:AA68)</f>
        <v>0</v>
      </c>
      <c r="AB69" s="48">
        <f t="shared" si="8"/>
        <v>0</v>
      </c>
      <c r="AC69" s="48">
        <f t="shared" si="8"/>
        <v>0</v>
      </c>
      <c r="AD69" s="48">
        <f t="shared" si="8"/>
        <v>0</v>
      </c>
      <c r="AE69" s="48">
        <f t="shared" si="8"/>
        <v>0</v>
      </c>
      <c r="AF69" s="25">
        <f t="shared" si="8"/>
        <v>6517500</v>
      </c>
      <c r="AG69" s="25">
        <f t="shared" si="8"/>
        <v>10958500</v>
      </c>
      <c r="AH69" s="25">
        <f t="shared" si="8"/>
        <v>9501500</v>
      </c>
      <c r="AI69" s="25">
        <f t="shared" si="8"/>
        <v>8617500</v>
      </c>
      <c r="AJ69" s="54">
        <f t="shared" si="8"/>
        <v>0</v>
      </c>
      <c r="AK69" s="54">
        <f t="shared" si="8"/>
        <v>0</v>
      </c>
      <c r="AL69" s="55">
        <f t="shared" si="8"/>
        <v>0</v>
      </c>
      <c r="AM69" s="45">
        <f t="shared" si="5"/>
        <v>35595000</v>
      </c>
    </row>
    <row r="70" spans="1:39">
      <c r="M70" s="64">
        <f>M69/1000</f>
        <v>21087.5</v>
      </c>
      <c r="Z70" s="73">
        <f>Z69/1000</f>
        <v>35595</v>
      </c>
      <c r="AM70" s="73">
        <f>AM69/1000</f>
        <v>35595</v>
      </c>
    </row>
    <row r="71" spans="1:39" ht="15.75" thickBot="1">
      <c r="A71" t="s">
        <v>188</v>
      </c>
    </row>
    <row r="72" spans="1:39">
      <c r="A72" s="1"/>
      <c r="B72" s="2"/>
      <c r="C72" s="3"/>
      <c r="D72" s="2"/>
      <c r="E72" s="2"/>
      <c r="F72" s="2"/>
      <c r="G72" s="24" t="s">
        <v>190</v>
      </c>
      <c r="H72" s="2"/>
      <c r="I72" s="2"/>
      <c r="J72" s="2"/>
      <c r="K72" s="2"/>
      <c r="L72" s="2"/>
      <c r="M72" s="41" t="s">
        <v>72</v>
      </c>
      <c r="N72" s="1"/>
      <c r="O72" s="2"/>
      <c r="P72" s="2"/>
      <c r="Q72" s="2"/>
      <c r="R72" s="2"/>
      <c r="S72" s="24" t="s">
        <v>191</v>
      </c>
      <c r="T72" s="2"/>
      <c r="U72" s="2"/>
      <c r="V72" s="2"/>
      <c r="W72" s="2"/>
      <c r="X72" s="2"/>
      <c r="Y72" s="3"/>
      <c r="Z72" s="41" t="s">
        <v>72</v>
      </c>
      <c r="AA72" s="1"/>
      <c r="AB72" s="2"/>
      <c r="AC72" s="2"/>
      <c r="AD72" s="2"/>
      <c r="AE72" s="2"/>
      <c r="AF72" s="24" t="s">
        <v>192</v>
      </c>
      <c r="AG72" s="2"/>
      <c r="AH72" s="2"/>
      <c r="AI72" s="2"/>
      <c r="AJ72" s="2"/>
      <c r="AK72" s="2"/>
      <c r="AL72" s="3"/>
      <c r="AM72" s="41" t="s">
        <v>72</v>
      </c>
    </row>
    <row r="73" spans="1:39" ht="15.75" thickBot="1">
      <c r="A73" s="7"/>
      <c r="B73" s="8"/>
      <c r="C73" s="9"/>
      <c r="D73" s="33" t="s">
        <v>14</v>
      </c>
      <c r="E73" s="33" t="s">
        <v>1</v>
      </c>
      <c r="F73" s="33" t="s">
        <v>4</v>
      </c>
      <c r="G73" s="33" t="s">
        <v>5</v>
      </c>
      <c r="H73" s="33" t="s">
        <v>7</v>
      </c>
      <c r="I73" s="33" t="s">
        <v>9</v>
      </c>
      <c r="J73" s="33" t="s">
        <v>26</v>
      </c>
      <c r="K73" s="33" t="s">
        <v>22</v>
      </c>
      <c r="L73" s="33" t="s">
        <v>36</v>
      </c>
      <c r="M73" s="62" t="s">
        <v>190</v>
      </c>
      <c r="N73" s="32" t="s">
        <v>23</v>
      </c>
      <c r="O73" s="33" t="s">
        <v>24</v>
      </c>
      <c r="P73" s="33" t="s">
        <v>13</v>
      </c>
      <c r="Q73" s="33" t="s">
        <v>14</v>
      </c>
      <c r="R73" s="33" t="s">
        <v>1</v>
      </c>
      <c r="S73" s="33" t="s">
        <v>4</v>
      </c>
      <c r="T73" s="33" t="s">
        <v>5</v>
      </c>
      <c r="U73" s="33" t="s">
        <v>7</v>
      </c>
      <c r="V73" s="33" t="s">
        <v>9</v>
      </c>
      <c r="W73" s="33" t="s">
        <v>26</v>
      </c>
      <c r="X73" s="33" t="s">
        <v>22</v>
      </c>
      <c r="Y73" s="34" t="s">
        <v>36</v>
      </c>
      <c r="Z73" s="62" t="s">
        <v>191</v>
      </c>
      <c r="AA73" s="32" t="s">
        <v>23</v>
      </c>
      <c r="AB73" s="33" t="s">
        <v>24</v>
      </c>
      <c r="AC73" s="33" t="s">
        <v>13</v>
      </c>
      <c r="AD73" s="33" t="s">
        <v>14</v>
      </c>
      <c r="AE73" s="33" t="s">
        <v>1</v>
      </c>
      <c r="AF73" s="33" t="s">
        <v>4</v>
      </c>
      <c r="AG73" s="33" t="s">
        <v>5</v>
      </c>
      <c r="AH73" s="33" t="s">
        <v>7</v>
      </c>
      <c r="AI73" s="33" t="s">
        <v>9</v>
      </c>
      <c r="AJ73" s="33" t="s">
        <v>26</v>
      </c>
      <c r="AK73" s="33" t="s">
        <v>22</v>
      </c>
      <c r="AL73" s="34" t="s">
        <v>36</v>
      </c>
      <c r="AM73" s="62" t="s">
        <v>192</v>
      </c>
    </row>
    <row r="74" spans="1:39">
      <c r="A74" s="4" t="s">
        <v>29</v>
      </c>
      <c r="B74" s="5"/>
      <c r="C74" s="6"/>
      <c r="D74" s="61">
        <f>I44*D34*30</f>
        <v>15000</v>
      </c>
      <c r="E74" s="57">
        <f>I46*E34*31</f>
        <v>8525</v>
      </c>
      <c r="F74" s="24">
        <f>E45*F34*30</f>
        <v>4500</v>
      </c>
      <c r="G74" s="24">
        <f>E44*G34*31</f>
        <v>10850</v>
      </c>
      <c r="H74" s="24">
        <f>E46*H34*31</f>
        <v>6200</v>
      </c>
      <c r="I74" s="24">
        <f>E45*I34*30</f>
        <v>4500</v>
      </c>
      <c r="J74" s="57">
        <f>I45*J34*31</f>
        <v>6200</v>
      </c>
      <c r="K74" s="57">
        <f>I45*K34*30</f>
        <v>6000</v>
      </c>
      <c r="L74" s="58">
        <f>I45*L34*31</f>
        <v>6200</v>
      </c>
      <c r="M74" s="57">
        <f t="shared" ref="M74:M80" si="9">SUM(D74:L74)</f>
        <v>67975</v>
      </c>
      <c r="N74" s="61">
        <f>I45*N34*31</f>
        <v>6200</v>
      </c>
      <c r="O74" s="57">
        <f>I44*O34*28</f>
        <v>14000</v>
      </c>
      <c r="P74" s="57">
        <f>I46*P34*31</f>
        <v>8525</v>
      </c>
      <c r="Q74" s="57">
        <f>I44*Q34*30</f>
        <v>15000</v>
      </c>
      <c r="R74" s="57">
        <f>I46*R34*31</f>
        <v>8525</v>
      </c>
      <c r="S74" s="24">
        <f>E45*S34*30</f>
        <v>4500</v>
      </c>
      <c r="T74" s="24">
        <f>E44*T34*31</f>
        <v>10850</v>
      </c>
      <c r="U74" s="24">
        <f>E46*U34*31</f>
        <v>6200</v>
      </c>
      <c r="V74" s="24">
        <f>E45*V34*30</f>
        <v>4500</v>
      </c>
      <c r="W74" s="57">
        <f>I45*W34*31</f>
        <v>6200</v>
      </c>
      <c r="X74" s="57">
        <f>I45*X34*30</f>
        <v>6000</v>
      </c>
      <c r="Y74" s="57">
        <f>I45*Y34*31</f>
        <v>6200</v>
      </c>
      <c r="Z74" s="56">
        <f t="shared" ref="Z74:Z80" si="10">SUM(N74:Y74)</f>
        <v>96700</v>
      </c>
      <c r="AA74" s="61">
        <f t="shared" ref="AA74:AL75" si="11">N74</f>
        <v>6200</v>
      </c>
      <c r="AB74" s="57">
        <f t="shared" si="11"/>
        <v>14000</v>
      </c>
      <c r="AC74" s="57">
        <f t="shared" si="11"/>
        <v>8525</v>
      </c>
      <c r="AD74" s="57">
        <f t="shared" si="11"/>
        <v>15000</v>
      </c>
      <c r="AE74" s="57">
        <f t="shared" si="11"/>
        <v>8525</v>
      </c>
      <c r="AF74" s="24">
        <f t="shared" si="11"/>
        <v>4500</v>
      </c>
      <c r="AG74" s="24">
        <f t="shared" si="11"/>
        <v>10850</v>
      </c>
      <c r="AH74" s="24">
        <f t="shared" si="11"/>
        <v>6200</v>
      </c>
      <c r="AI74" s="24">
        <f t="shared" si="11"/>
        <v>4500</v>
      </c>
      <c r="AJ74" s="57">
        <f t="shared" si="11"/>
        <v>6200</v>
      </c>
      <c r="AK74" s="57">
        <f t="shared" si="11"/>
        <v>6000</v>
      </c>
      <c r="AL74" s="57">
        <f t="shared" si="11"/>
        <v>6200</v>
      </c>
      <c r="AM74" s="56">
        <f t="shared" ref="AM74:AM80" si="12">SUM(AA74:AL74)</f>
        <v>96700</v>
      </c>
    </row>
    <row r="75" spans="1:39">
      <c r="A75" s="4" t="s">
        <v>62</v>
      </c>
      <c r="B75" s="5"/>
      <c r="C75" s="6"/>
      <c r="D75" s="49">
        <f>I44*D35*30</f>
        <v>150000</v>
      </c>
      <c r="E75" s="51">
        <f>I47*E35*31</f>
        <v>93000</v>
      </c>
      <c r="F75" s="23">
        <f>E51*F35*30</f>
        <v>97500</v>
      </c>
      <c r="G75" s="23">
        <f>E44*G35*31</f>
        <v>108500</v>
      </c>
      <c r="H75" s="23">
        <f>E47*H35*31</f>
        <v>69750</v>
      </c>
      <c r="I75" s="23">
        <f>E51*I35*30</f>
        <v>97500</v>
      </c>
      <c r="J75" s="51">
        <f>I45*J35*31</f>
        <v>62000</v>
      </c>
      <c r="K75" s="51">
        <f>I45*K35*30</f>
        <v>60000</v>
      </c>
      <c r="L75" s="53">
        <f>I45*L35*31</f>
        <v>62000</v>
      </c>
      <c r="M75" s="51">
        <f t="shared" si="9"/>
        <v>800250</v>
      </c>
      <c r="N75" s="49">
        <f>I45*N35*31</f>
        <v>62000</v>
      </c>
      <c r="O75" s="51">
        <f>I44*O35*28</f>
        <v>140000</v>
      </c>
      <c r="P75" s="51">
        <f>I47*P35*31</f>
        <v>93000</v>
      </c>
      <c r="Q75" s="51">
        <f>I51*Q35*30</f>
        <v>131250</v>
      </c>
      <c r="R75" s="51">
        <f>I47*R35*31</f>
        <v>93000</v>
      </c>
      <c r="S75" s="23">
        <f>E51*S35*30</f>
        <v>97500</v>
      </c>
      <c r="T75" s="23">
        <f>E44*T35*31</f>
        <v>108500</v>
      </c>
      <c r="U75" s="23">
        <f>E47*U35*31</f>
        <v>69750</v>
      </c>
      <c r="V75" s="23">
        <f>E51*V35*30</f>
        <v>97500</v>
      </c>
      <c r="W75" s="51">
        <f>I45*W35*31</f>
        <v>62000</v>
      </c>
      <c r="X75" s="51">
        <f>I45*X35*30</f>
        <v>60000</v>
      </c>
      <c r="Y75" s="51">
        <f>I45*Y35*31</f>
        <v>62000</v>
      </c>
      <c r="Z75" s="42">
        <f t="shared" si="10"/>
        <v>1076500</v>
      </c>
      <c r="AA75" s="49">
        <f t="shared" si="11"/>
        <v>62000</v>
      </c>
      <c r="AB75" s="51">
        <f t="shared" si="11"/>
        <v>140000</v>
      </c>
      <c r="AC75" s="51">
        <f t="shared" si="11"/>
        <v>93000</v>
      </c>
      <c r="AD75" s="51">
        <f t="shared" si="11"/>
        <v>131250</v>
      </c>
      <c r="AE75" s="51">
        <f t="shared" si="11"/>
        <v>93000</v>
      </c>
      <c r="AF75" s="23">
        <f t="shared" si="11"/>
        <v>97500</v>
      </c>
      <c r="AG75" s="23">
        <f t="shared" si="11"/>
        <v>108500</v>
      </c>
      <c r="AH75" s="23">
        <f t="shared" si="11"/>
        <v>69750</v>
      </c>
      <c r="AI75" s="23">
        <f t="shared" si="11"/>
        <v>97500</v>
      </c>
      <c r="AJ75" s="51">
        <f t="shared" si="11"/>
        <v>62000</v>
      </c>
      <c r="AK75" s="51">
        <f t="shared" si="11"/>
        <v>60000</v>
      </c>
      <c r="AL75" s="51">
        <f t="shared" si="11"/>
        <v>62000</v>
      </c>
      <c r="AM75" s="42">
        <f t="shared" si="12"/>
        <v>1076500</v>
      </c>
    </row>
    <row r="76" spans="1:39">
      <c r="A76" s="4" t="s">
        <v>63</v>
      </c>
      <c r="B76" s="5"/>
      <c r="C76" s="6"/>
      <c r="D76" s="49">
        <v>0</v>
      </c>
      <c r="E76" s="51">
        <v>0</v>
      </c>
      <c r="F76" s="23">
        <f>E53*F36*30/2</f>
        <v>31500</v>
      </c>
      <c r="G76" s="23">
        <f>E55*G36*31</f>
        <v>434000</v>
      </c>
      <c r="H76" s="29">
        <v>0</v>
      </c>
      <c r="I76" s="29">
        <f>E53*I36/4*30</f>
        <v>31500</v>
      </c>
      <c r="J76" s="51">
        <f>I55*J36/2*31</f>
        <v>542500</v>
      </c>
      <c r="K76" s="51">
        <v>0</v>
      </c>
      <c r="L76" s="53">
        <v>0</v>
      </c>
      <c r="M76" s="51">
        <f t="shared" si="9"/>
        <v>1039500</v>
      </c>
      <c r="N76" s="49">
        <v>0</v>
      </c>
      <c r="O76" s="51">
        <v>0</v>
      </c>
      <c r="P76" s="51">
        <v>0</v>
      </c>
      <c r="Q76" s="51">
        <f>I53*Q36/2*30</f>
        <v>36750</v>
      </c>
      <c r="R76" s="51">
        <f>I55*R36*31</f>
        <v>542500</v>
      </c>
      <c r="S76" s="29">
        <f>E53*S36/4*30</f>
        <v>31500</v>
      </c>
      <c r="T76" s="23">
        <f>E55*T36/2*31</f>
        <v>434000</v>
      </c>
      <c r="U76" s="29">
        <v>0</v>
      </c>
      <c r="V76" s="29">
        <f>V36/4*E53*30</f>
        <v>31500</v>
      </c>
      <c r="W76" s="51">
        <f>I55*W36/2*31</f>
        <v>542500</v>
      </c>
      <c r="X76" s="51">
        <v>0</v>
      </c>
      <c r="Y76" s="51">
        <v>0</v>
      </c>
      <c r="Z76" s="42">
        <f t="shared" si="10"/>
        <v>1618750</v>
      </c>
      <c r="AA76" s="49">
        <v>0</v>
      </c>
      <c r="AB76" s="51">
        <v>0</v>
      </c>
      <c r="AC76" s="51">
        <v>0</v>
      </c>
      <c r="AD76" s="51">
        <f>Q76</f>
        <v>36750</v>
      </c>
      <c r="AE76" s="51">
        <f>R76</f>
        <v>542500</v>
      </c>
      <c r="AF76" s="29">
        <f>S76</f>
        <v>31500</v>
      </c>
      <c r="AG76" s="23">
        <f>T76</f>
        <v>434000</v>
      </c>
      <c r="AH76" s="29">
        <v>0</v>
      </c>
      <c r="AI76" s="29">
        <f>V76</f>
        <v>31500</v>
      </c>
      <c r="AJ76" s="51">
        <f>W76</f>
        <v>542500</v>
      </c>
      <c r="AK76" s="51">
        <v>0</v>
      </c>
      <c r="AL76" s="51">
        <v>0</v>
      </c>
      <c r="AM76" s="42">
        <f t="shared" si="12"/>
        <v>1618750</v>
      </c>
    </row>
    <row r="77" spans="1:39">
      <c r="A77" s="4" t="s">
        <v>64</v>
      </c>
      <c r="B77" s="5"/>
      <c r="C77" s="6"/>
      <c r="D77" s="49">
        <v>0</v>
      </c>
      <c r="E77" s="51">
        <v>0</v>
      </c>
      <c r="F77" s="23">
        <v>0</v>
      </c>
      <c r="G77" s="29">
        <v>0</v>
      </c>
      <c r="H77" s="23">
        <f>E56*H36*31</f>
        <v>542500</v>
      </c>
      <c r="I77" s="29">
        <v>0</v>
      </c>
      <c r="J77" s="51">
        <v>0</v>
      </c>
      <c r="K77" s="51">
        <f>I56*K36*30</f>
        <v>630000</v>
      </c>
      <c r="L77" s="53">
        <v>0</v>
      </c>
      <c r="M77" s="51">
        <f t="shared" si="9"/>
        <v>1172500</v>
      </c>
      <c r="N77" s="49">
        <v>0</v>
      </c>
      <c r="O77" s="51">
        <v>0</v>
      </c>
      <c r="P77" s="51">
        <v>0</v>
      </c>
      <c r="Q77" s="51">
        <v>0</v>
      </c>
      <c r="R77" s="51">
        <v>0</v>
      </c>
      <c r="S77" s="23">
        <f>E56*S36*30/2</f>
        <v>525000</v>
      </c>
      <c r="T77" s="29">
        <v>0</v>
      </c>
      <c r="U77" s="23">
        <f>E56*U36*31</f>
        <v>542500</v>
      </c>
      <c r="V77" s="29">
        <v>0</v>
      </c>
      <c r="W77" s="51">
        <v>0</v>
      </c>
      <c r="X77" s="51">
        <f>I56*X36*30</f>
        <v>630000</v>
      </c>
      <c r="Y77" s="51">
        <v>0</v>
      </c>
      <c r="Z77" s="42">
        <f t="shared" si="10"/>
        <v>1697500</v>
      </c>
      <c r="AA77" s="49">
        <v>0</v>
      </c>
      <c r="AB77" s="51">
        <v>0</v>
      </c>
      <c r="AC77" s="51">
        <v>0</v>
      </c>
      <c r="AD77" s="51">
        <v>0</v>
      </c>
      <c r="AE77" s="51">
        <v>0</v>
      </c>
      <c r="AF77" s="23">
        <f>S77</f>
        <v>525000</v>
      </c>
      <c r="AG77" s="29">
        <v>0</v>
      </c>
      <c r="AH77" s="23">
        <f>U77</f>
        <v>542500</v>
      </c>
      <c r="AI77" s="29">
        <v>0</v>
      </c>
      <c r="AJ77" s="51">
        <v>0</v>
      </c>
      <c r="AK77" s="51">
        <f>X77</f>
        <v>630000</v>
      </c>
      <c r="AL77" s="51">
        <v>0</v>
      </c>
      <c r="AM77" s="42">
        <f t="shared" si="12"/>
        <v>1697500</v>
      </c>
    </row>
    <row r="78" spans="1:39">
      <c r="A78" s="4" t="s">
        <v>65</v>
      </c>
      <c r="B78" s="5"/>
      <c r="C78" s="6"/>
      <c r="D78" s="49">
        <v>0</v>
      </c>
      <c r="E78" s="51">
        <v>0</v>
      </c>
      <c r="F78" s="23">
        <v>0</v>
      </c>
      <c r="G78" s="29">
        <v>0</v>
      </c>
      <c r="H78" s="29">
        <v>0</v>
      </c>
      <c r="I78" s="23">
        <f>E57*I36/2*30</f>
        <v>840000</v>
      </c>
      <c r="J78" s="51">
        <v>0</v>
      </c>
      <c r="K78" s="51">
        <v>0</v>
      </c>
      <c r="L78" s="53">
        <f>I57*L36*31</f>
        <v>976500</v>
      </c>
      <c r="M78" s="51">
        <f t="shared" si="9"/>
        <v>1816500</v>
      </c>
      <c r="N78" s="49">
        <v>0</v>
      </c>
      <c r="O78" s="51">
        <v>0</v>
      </c>
      <c r="P78" s="51">
        <v>0</v>
      </c>
      <c r="Q78" s="51">
        <v>0</v>
      </c>
      <c r="R78" s="51">
        <v>0</v>
      </c>
      <c r="S78" s="29">
        <v>0</v>
      </c>
      <c r="T78" s="23">
        <f>E57*T36/2*31</f>
        <v>868000</v>
      </c>
      <c r="U78" s="29">
        <v>0</v>
      </c>
      <c r="V78" s="23">
        <f>E57*V36/2*30</f>
        <v>840000</v>
      </c>
      <c r="W78" s="51">
        <v>0</v>
      </c>
      <c r="X78" s="51">
        <v>0</v>
      </c>
      <c r="Y78" s="51">
        <f>I57*Y36*31</f>
        <v>976500</v>
      </c>
      <c r="Z78" s="42">
        <f t="shared" si="10"/>
        <v>2684500</v>
      </c>
      <c r="AA78" s="49">
        <v>0</v>
      </c>
      <c r="AB78" s="51">
        <v>0</v>
      </c>
      <c r="AC78" s="51">
        <v>0</v>
      </c>
      <c r="AD78" s="51">
        <v>0</v>
      </c>
      <c r="AE78" s="51">
        <v>0</v>
      </c>
      <c r="AF78" s="29">
        <v>0</v>
      </c>
      <c r="AG78" s="23">
        <f>T78</f>
        <v>868000</v>
      </c>
      <c r="AH78" s="29">
        <v>0</v>
      </c>
      <c r="AI78" s="23">
        <f>V78</f>
        <v>840000</v>
      </c>
      <c r="AJ78" s="51">
        <v>0</v>
      </c>
      <c r="AK78" s="51">
        <v>0</v>
      </c>
      <c r="AL78" s="51">
        <f>Y78</f>
        <v>976500</v>
      </c>
      <c r="AM78" s="42">
        <f t="shared" si="12"/>
        <v>2684500</v>
      </c>
    </row>
    <row r="79" spans="1:39" ht="15.75" thickBot="1">
      <c r="A79" s="4" t="s">
        <v>66</v>
      </c>
      <c r="B79" s="5"/>
      <c r="C79" s="6"/>
      <c r="D79" s="49">
        <v>0</v>
      </c>
      <c r="E79" s="51">
        <v>0</v>
      </c>
      <c r="F79" s="29">
        <v>0</v>
      </c>
      <c r="G79" s="29">
        <v>0</v>
      </c>
      <c r="H79" s="29">
        <v>0</v>
      </c>
      <c r="I79" s="29">
        <v>0</v>
      </c>
      <c r="J79" s="51">
        <f>I58*J36/2*31</f>
        <v>1085000</v>
      </c>
      <c r="K79" s="51">
        <v>0</v>
      </c>
      <c r="L79" s="53">
        <v>0</v>
      </c>
      <c r="M79" s="51">
        <f t="shared" si="9"/>
        <v>1085000</v>
      </c>
      <c r="N79" s="49">
        <f>I58*N36*31</f>
        <v>542500</v>
      </c>
      <c r="O79" s="51">
        <f>I58*O36*28</f>
        <v>490000</v>
      </c>
      <c r="P79" s="51">
        <v>0</v>
      </c>
      <c r="Q79" s="51">
        <v>0</v>
      </c>
      <c r="R79" s="51">
        <v>0</v>
      </c>
      <c r="S79" s="29">
        <v>0</v>
      </c>
      <c r="T79" s="29">
        <v>0</v>
      </c>
      <c r="U79" s="29">
        <f>E58*U36/2*31</f>
        <v>488250</v>
      </c>
      <c r="V79" s="29">
        <v>0</v>
      </c>
      <c r="W79" s="51">
        <f>I58*W36/2*31</f>
        <v>1085000</v>
      </c>
      <c r="X79" s="51">
        <v>0</v>
      </c>
      <c r="Y79" s="51">
        <v>0</v>
      </c>
      <c r="Z79" s="42">
        <f t="shared" si="10"/>
        <v>2605750</v>
      </c>
      <c r="AA79" s="49">
        <f>N79</f>
        <v>542500</v>
      </c>
      <c r="AB79" s="51">
        <f>O79</f>
        <v>490000</v>
      </c>
      <c r="AC79" s="51">
        <v>0</v>
      </c>
      <c r="AD79" s="51">
        <v>0</v>
      </c>
      <c r="AE79" s="51">
        <v>0</v>
      </c>
      <c r="AF79" s="29">
        <v>0</v>
      </c>
      <c r="AG79" s="29">
        <v>0</v>
      </c>
      <c r="AH79" s="29">
        <f>U79</f>
        <v>488250</v>
      </c>
      <c r="AI79" s="29">
        <v>0</v>
      </c>
      <c r="AJ79" s="51">
        <f>W79</f>
        <v>1085000</v>
      </c>
      <c r="AK79" s="51">
        <v>0</v>
      </c>
      <c r="AL79" s="51">
        <v>0</v>
      </c>
      <c r="AM79" s="42">
        <f t="shared" si="12"/>
        <v>2605750</v>
      </c>
    </row>
    <row r="80" spans="1:39" ht="15.75" thickBot="1">
      <c r="A80" s="13" t="s">
        <v>67</v>
      </c>
      <c r="B80" s="14"/>
      <c r="C80" s="15"/>
      <c r="D80" s="52">
        <f t="shared" ref="D80:L80" si="13">SUM(D74:D79)</f>
        <v>165000</v>
      </c>
      <c r="E80" s="54">
        <f t="shared" si="13"/>
        <v>101525</v>
      </c>
      <c r="F80" s="25">
        <f t="shared" si="13"/>
        <v>133500</v>
      </c>
      <c r="G80" s="25">
        <f t="shared" si="13"/>
        <v>553350</v>
      </c>
      <c r="H80" s="25">
        <f t="shared" si="13"/>
        <v>618450</v>
      </c>
      <c r="I80" s="25">
        <f t="shared" si="13"/>
        <v>973500</v>
      </c>
      <c r="J80" s="54">
        <f t="shared" si="13"/>
        <v>1695700</v>
      </c>
      <c r="K80" s="54">
        <f t="shared" si="13"/>
        <v>696000</v>
      </c>
      <c r="L80" s="55">
        <f t="shared" si="13"/>
        <v>1044700</v>
      </c>
      <c r="M80" s="54">
        <f t="shared" si="9"/>
        <v>5981725</v>
      </c>
      <c r="N80" s="52">
        <f t="shared" ref="N80:Y80" si="14">SUM(N74:N79)</f>
        <v>610700</v>
      </c>
      <c r="O80" s="54">
        <f t="shared" si="14"/>
        <v>644000</v>
      </c>
      <c r="P80" s="54">
        <f t="shared" si="14"/>
        <v>101525</v>
      </c>
      <c r="Q80" s="54">
        <f t="shared" si="14"/>
        <v>183000</v>
      </c>
      <c r="R80" s="54">
        <f t="shared" si="14"/>
        <v>644025</v>
      </c>
      <c r="S80" s="25">
        <f t="shared" si="14"/>
        <v>658500</v>
      </c>
      <c r="T80" s="25">
        <f t="shared" si="14"/>
        <v>1421350</v>
      </c>
      <c r="U80" s="25">
        <f t="shared" si="14"/>
        <v>1106700</v>
      </c>
      <c r="V80" s="25">
        <f t="shared" si="14"/>
        <v>973500</v>
      </c>
      <c r="W80" s="54">
        <f t="shared" si="14"/>
        <v>1695700</v>
      </c>
      <c r="X80" s="54">
        <f t="shared" si="14"/>
        <v>696000</v>
      </c>
      <c r="Y80" s="54">
        <f t="shared" si="14"/>
        <v>1044700</v>
      </c>
      <c r="Z80" s="43">
        <f t="shared" si="10"/>
        <v>9779700</v>
      </c>
      <c r="AA80" s="52">
        <f t="shared" ref="AA80:AL80" si="15">SUM(AA74:AA79)</f>
        <v>610700</v>
      </c>
      <c r="AB80" s="54">
        <f t="shared" si="15"/>
        <v>644000</v>
      </c>
      <c r="AC80" s="54">
        <f t="shared" si="15"/>
        <v>101525</v>
      </c>
      <c r="AD80" s="54">
        <f t="shared" si="15"/>
        <v>183000</v>
      </c>
      <c r="AE80" s="54">
        <f t="shared" si="15"/>
        <v>644025</v>
      </c>
      <c r="AF80" s="25">
        <f t="shared" si="15"/>
        <v>658500</v>
      </c>
      <c r="AG80" s="25">
        <f t="shared" si="15"/>
        <v>1421350</v>
      </c>
      <c r="AH80" s="25">
        <f t="shared" si="15"/>
        <v>1106700</v>
      </c>
      <c r="AI80" s="25">
        <f t="shared" si="15"/>
        <v>973500</v>
      </c>
      <c r="AJ80" s="54">
        <f t="shared" si="15"/>
        <v>1695700</v>
      </c>
      <c r="AK80" s="54">
        <f t="shared" si="15"/>
        <v>696000</v>
      </c>
      <c r="AL80" s="54">
        <f t="shared" si="15"/>
        <v>1044700</v>
      </c>
      <c r="AM80" s="43">
        <f t="shared" si="12"/>
        <v>9779700</v>
      </c>
    </row>
    <row r="81" spans="1:39">
      <c r="M81" s="51">
        <f>M80/1000</f>
        <v>5981.7250000000004</v>
      </c>
      <c r="Z81" s="73">
        <f>Z80/1000</f>
        <v>9779.7000000000007</v>
      </c>
      <c r="AM81" s="73">
        <f>AM80/1000</f>
        <v>9779.7000000000007</v>
      </c>
    </row>
    <row r="82" spans="1:39" ht="15.75" thickBot="1">
      <c r="A82" t="s">
        <v>88</v>
      </c>
    </row>
    <row r="83" spans="1:39">
      <c r="A83" s="1"/>
      <c r="B83" s="2"/>
      <c r="C83" s="3"/>
      <c r="D83" s="1"/>
      <c r="E83" s="2"/>
      <c r="F83" s="2"/>
      <c r="G83" s="24" t="str">
        <f>G61</f>
        <v>1 год</v>
      </c>
      <c r="H83" s="2"/>
      <c r="I83" s="2"/>
      <c r="J83" s="2"/>
      <c r="K83" s="2"/>
      <c r="L83" s="3"/>
      <c r="M83" s="24" t="s">
        <v>72</v>
      </c>
      <c r="N83" s="1"/>
      <c r="O83" s="2"/>
      <c r="P83" s="2"/>
      <c r="Q83" s="2"/>
      <c r="R83" s="2"/>
      <c r="S83" s="24" t="str">
        <f>S72</f>
        <v>2 год</v>
      </c>
      <c r="T83" s="2"/>
      <c r="U83" s="2"/>
      <c r="V83" s="2"/>
      <c r="W83" s="2"/>
      <c r="X83" s="2"/>
      <c r="Y83" s="2"/>
      <c r="Z83" s="41" t="s">
        <v>72</v>
      </c>
      <c r="AA83" s="1"/>
      <c r="AB83" s="2"/>
      <c r="AC83" s="2"/>
      <c r="AD83" s="2"/>
      <c r="AE83" s="2"/>
      <c r="AF83" s="24" t="str">
        <f>AF72</f>
        <v>3 год</v>
      </c>
      <c r="AG83" s="2"/>
      <c r="AH83" s="2"/>
      <c r="AI83" s="2"/>
      <c r="AJ83" s="2"/>
      <c r="AK83" s="2"/>
      <c r="AL83" s="2"/>
      <c r="AM83" s="41" t="s">
        <v>72</v>
      </c>
    </row>
    <row r="84" spans="1:39" ht="15.75" thickBot="1">
      <c r="A84" s="7"/>
      <c r="B84" s="8"/>
      <c r="C84" s="9"/>
      <c r="D84" s="32" t="s">
        <v>14</v>
      </c>
      <c r="E84" s="33" t="s">
        <v>1</v>
      </c>
      <c r="F84" s="33" t="s">
        <v>4</v>
      </c>
      <c r="G84" s="33" t="s">
        <v>5</v>
      </c>
      <c r="H84" s="33" t="s">
        <v>7</v>
      </c>
      <c r="I84" s="33" t="s">
        <v>9</v>
      </c>
      <c r="J84" s="33" t="s">
        <v>26</v>
      </c>
      <c r="K84" s="33" t="s">
        <v>22</v>
      </c>
      <c r="L84" s="34" t="s">
        <v>36</v>
      </c>
      <c r="M84" s="33" t="str">
        <f>M62</f>
        <v>1 год</v>
      </c>
      <c r="N84" s="32" t="s">
        <v>23</v>
      </c>
      <c r="O84" s="33" t="s">
        <v>24</v>
      </c>
      <c r="P84" s="33" t="s">
        <v>13</v>
      </c>
      <c r="Q84" s="33" t="s">
        <v>14</v>
      </c>
      <c r="R84" s="33" t="s">
        <v>1</v>
      </c>
      <c r="S84" s="33" t="s">
        <v>4</v>
      </c>
      <c r="T84" s="33" t="s">
        <v>5</v>
      </c>
      <c r="U84" s="33" t="s">
        <v>7</v>
      </c>
      <c r="V84" s="33" t="s">
        <v>9</v>
      </c>
      <c r="W84" s="33" t="s">
        <v>26</v>
      </c>
      <c r="X84" s="33" t="s">
        <v>22</v>
      </c>
      <c r="Y84" s="33" t="s">
        <v>36</v>
      </c>
      <c r="Z84" s="62" t="str">
        <f>Z73</f>
        <v>2 год</v>
      </c>
      <c r="AA84" s="32" t="s">
        <v>23</v>
      </c>
      <c r="AB84" s="23" t="s">
        <v>24</v>
      </c>
      <c r="AC84" s="23" t="s">
        <v>13</v>
      </c>
      <c r="AD84" s="23" t="s">
        <v>14</v>
      </c>
      <c r="AE84" s="33" t="s">
        <v>1</v>
      </c>
      <c r="AF84" s="23" t="s">
        <v>4</v>
      </c>
      <c r="AG84" s="23" t="s">
        <v>5</v>
      </c>
      <c r="AH84" s="23" t="s">
        <v>7</v>
      </c>
      <c r="AI84" s="23" t="s">
        <v>9</v>
      </c>
      <c r="AJ84" s="33" t="s">
        <v>26</v>
      </c>
      <c r="AK84" s="33" t="s">
        <v>22</v>
      </c>
      <c r="AL84" s="33" t="s">
        <v>36</v>
      </c>
      <c r="AM84" s="62" t="str">
        <f>AF72</f>
        <v>3 год</v>
      </c>
    </row>
    <row r="85" spans="1:39">
      <c r="A85" s="4" t="s">
        <v>29</v>
      </c>
      <c r="B85" s="5"/>
      <c r="C85" s="6"/>
      <c r="D85" s="49">
        <f>J44*D34*30</f>
        <v>150</v>
      </c>
      <c r="E85" s="51">
        <f>J46*E34*31</f>
        <v>155</v>
      </c>
      <c r="F85" s="23">
        <f>F45*F34*30</f>
        <v>150</v>
      </c>
      <c r="G85" s="23">
        <f>F44*G34*31</f>
        <v>155</v>
      </c>
      <c r="H85" s="23">
        <f>F46*H34*31</f>
        <v>155</v>
      </c>
      <c r="I85" s="23">
        <f>F45*I34*30</f>
        <v>150</v>
      </c>
      <c r="J85" s="51">
        <f>J45*J34*31</f>
        <v>155</v>
      </c>
      <c r="K85" s="51">
        <f>J45*K34*30</f>
        <v>150</v>
      </c>
      <c r="L85" s="53">
        <f>J45*L34*31</f>
        <v>155</v>
      </c>
      <c r="M85" s="51">
        <f t="shared" ref="M85:M91" si="16">SUM(D85:L85)</f>
        <v>1375</v>
      </c>
      <c r="N85" s="49">
        <f>J44*N34*31</f>
        <v>155</v>
      </c>
      <c r="O85" s="51">
        <f>J44*O34*28</f>
        <v>140</v>
      </c>
      <c r="P85" s="51">
        <f>J46*P34*31</f>
        <v>155</v>
      </c>
      <c r="Q85" s="51">
        <f>J44*Q34*30</f>
        <v>150</v>
      </c>
      <c r="R85" s="51">
        <f>J46*R34*31</f>
        <v>155</v>
      </c>
      <c r="S85" s="23">
        <f>F45*S34*30</f>
        <v>150</v>
      </c>
      <c r="T85" s="23">
        <f>F44*T34*31</f>
        <v>155</v>
      </c>
      <c r="U85" s="23">
        <f>F46*U34*31</f>
        <v>155</v>
      </c>
      <c r="V85" s="23">
        <f>F45*V34*30</f>
        <v>150</v>
      </c>
      <c r="W85" s="51">
        <f>J45*W34*31</f>
        <v>155</v>
      </c>
      <c r="X85" s="51">
        <f>J45*X34*30</f>
        <v>150</v>
      </c>
      <c r="Y85" s="51">
        <f>J45*Y34*31</f>
        <v>155</v>
      </c>
      <c r="Z85" s="42">
        <f t="shared" ref="Z85:Z91" si="17">SUM(N85:Y85)</f>
        <v>1825</v>
      </c>
      <c r="AA85" s="49">
        <f>N85</f>
        <v>155</v>
      </c>
      <c r="AB85" s="57">
        <f>O85</f>
        <v>140</v>
      </c>
      <c r="AC85" s="57">
        <f t="shared" ref="AC85:AL90" si="18">P85</f>
        <v>155</v>
      </c>
      <c r="AD85" s="57">
        <f t="shared" si="18"/>
        <v>150</v>
      </c>
      <c r="AE85" s="51">
        <f t="shared" si="18"/>
        <v>155</v>
      </c>
      <c r="AF85" s="36">
        <f t="shared" si="18"/>
        <v>150</v>
      </c>
      <c r="AG85" s="36">
        <f t="shared" si="18"/>
        <v>155</v>
      </c>
      <c r="AH85" s="36">
        <f t="shared" si="18"/>
        <v>155</v>
      </c>
      <c r="AI85" s="36">
        <f t="shared" si="18"/>
        <v>150</v>
      </c>
      <c r="AJ85" s="57">
        <f t="shared" si="18"/>
        <v>155</v>
      </c>
      <c r="AK85" s="57">
        <f t="shared" si="18"/>
        <v>150</v>
      </c>
      <c r="AL85" s="51">
        <f t="shared" si="18"/>
        <v>155</v>
      </c>
      <c r="AM85" s="42">
        <f t="shared" ref="AM85:AM91" si="19">SUM(AA85:AL85)</f>
        <v>1825</v>
      </c>
    </row>
    <row r="86" spans="1:39">
      <c r="A86" s="4" t="s">
        <v>62</v>
      </c>
      <c r="B86" s="5"/>
      <c r="C86" s="6"/>
      <c r="D86" s="49">
        <f>J44*D35*30</f>
        <v>1500</v>
      </c>
      <c r="E86" s="51">
        <f>J47*E35*31</f>
        <v>1550</v>
      </c>
      <c r="F86" s="23">
        <f>F51*F35*30</f>
        <v>2250</v>
      </c>
      <c r="G86" s="23">
        <f>F44*G35*31</f>
        <v>1550</v>
      </c>
      <c r="H86" s="23">
        <f>F47*H35*31</f>
        <v>1550</v>
      </c>
      <c r="I86" s="23">
        <f>F51*I35*30</f>
        <v>2250</v>
      </c>
      <c r="J86" s="51">
        <f>J45*J35*31</f>
        <v>1550</v>
      </c>
      <c r="K86" s="51">
        <f>J45*K35*30</f>
        <v>1500</v>
      </c>
      <c r="L86" s="53">
        <f>J45*L35*31</f>
        <v>1550</v>
      </c>
      <c r="M86" s="51">
        <f t="shared" si="16"/>
        <v>15250</v>
      </c>
      <c r="N86" s="49">
        <f>J45*N35*31</f>
        <v>1550</v>
      </c>
      <c r="O86" s="51">
        <f>J44*O35*28</f>
        <v>1400</v>
      </c>
      <c r="P86" s="51">
        <f>J47*P35*31</f>
        <v>1550</v>
      </c>
      <c r="Q86" s="51">
        <f>J51*Q35*30</f>
        <v>2250</v>
      </c>
      <c r="R86" s="51">
        <f>J47*31*R35</f>
        <v>1550</v>
      </c>
      <c r="S86" s="23">
        <f>J51*S35*30</f>
        <v>2250</v>
      </c>
      <c r="T86" s="23">
        <f>F44*T35*31</f>
        <v>1550</v>
      </c>
      <c r="U86" s="23">
        <f>F47*U35*31</f>
        <v>1550</v>
      </c>
      <c r="V86" s="23">
        <f>F51*V35*30</f>
        <v>2250</v>
      </c>
      <c r="W86" s="51">
        <f>W35*31*J45</f>
        <v>1550</v>
      </c>
      <c r="X86" s="51">
        <f>J45*X35*30</f>
        <v>1500</v>
      </c>
      <c r="Y86" s="51">
        <f>J45*Y35*31</f>
        <v>1550</v>
      </c>
      <c r="Z86" s="42">
        <f t="shared" si="17"/>
        <v>20500</v>
      </c>
      <c r="AA86" s="49">
        <f>N86</f>
        <v>1550</v>
      </c>
      <c r="AB86" s="51">
        <f>O86</f>
        <v>1400</v>
      </c>
      <c r="AC86" s="51">
        <f t="shared" si="18"/>
        <v>1550</v>
      </c>
      <c r="AD86" s="51">
        <f t="shared" si="18"/>
        <v>2250</v>
      </c>
      <c r="AE86" s="51">
        <f t="shared" si="18"/>
        <v>1550</v>
      </c>
      <c r="AF86" s="29">
        <f t="shared" si="18"/>
        <v>2250</v>
      </c>
      <c r="AG86" s="29">
        <f t="shared" si="18"/>
        <v>1550</v>
      </c>
      <c r="AH86" s="29">
        <f t="shared" si="18"/>
        <v>1550</v>
      </c>
      <c r="AI86" s="29">
        <f t="shared" si="18"/>
        <v>2250</v>
      </c>
      <c r="AJ86" s="51">
        <f t="shared" si="18"/>
        <v>1550</v>
      </c>
      <c r="AK86" s="51">
        <f t="shared" si="18"/>
        <v>1500</v>
      </c>
      <c r="AL86" s="51">
        <f t="shared" si="18"/>
        <v>1550</v>
      </c>
      <c r="AM86" s="42">
        <f t="shared" si="19"/>
        <v>20500</v>
      </c>
    </row>
    <row r="87" spans="1:39">
      <c r="A87" s="4" t="s">
        <v>63</v>
      </c>
      <c r="B87" s="5"/>
      <c r="C87" s="6"/>
      <c r="D87" s="49">
        <v>0</v>
      </c>
      <c r="E87" s="51">
        <v>0</v>
      </c>
      <c r="F87" s="23">
        <v>0</v>
      </c>
      <c r="G87" s="23">
        <f>F55*G36*31</f>
        <v>5425</v>
      </c>
      <c r="H87" s="29">
        <v>0</v>
      </c>
      <c r="I87" s="29">
        <v>0</v>
      </c>
      <c r="J87" s="51">
        <f>J55*J36/2*31</f>
        <v>5425</v>
      </c>
      <c r="K87" s="51">
        <v>0</v>
      </c>
      <c r="L87" s="53">
        <v>0</v>
      </c>
      <c r="M87" s="51">
        <f t="shared" si="16"/>
        <v>10850</v>
      </c>
      <c r="N87" s="49">
        <v>0</v>
      </c>
      <c r="O87" s="51">
        <v>0</v>
      </c>
      <c r="P87" s="51">
        <v>0</v>
      </c>
      <c r="Q87" s="51">
        <v>0</v>
      </c>
      <c r="R87" s="51">
        <f>J55*R36*31</f>
        <v>5425</v>
      </c>
      <c r="S87" s="29">
        <v>0</v>
      </c>
      <c r="T87" s="23">
        <f>F55*T36/2*31</f>
        <v>5425</v>
      </c>
      <c r="U87" s="29">
        <v>0</v>
      </c>
      <c r="V87" s="29">
        <v>0</v>
      </c>
      <c r="W87" s="51">
        <f>J55*W36/2*31</f>
        <v>5425</v>
      </c>
      <c r="X87" s="51">
        <v>0</v>
      </c>
      <c r="Y87" s="51">
        <v>0</v>
      </c>
      <c r="Z87" s="42">
        <f t="shared" si="17"/>
        <v>16275</v>
      </c>
      <c r="AA87" s="49">
        <f t="shared" ref="AA87:AA90" si="20">N87</f>
        <v>0</v>
      </c>
      <c r="AB87" s="51">
        <f t="shared" ref="AB87:AB90" si="21">O87</f>
        <v>0</v>
      </c>
      <c r="AC87" s="51">
        <f t="shared" si="18"/>
        <v>0</v>
      </c>
      <c r="AD87" s="51">
        <f t="shared" si="18"/>
        <v>0</v>
      </c>
      <c r="AE87" s="51">
        <f t="shared" si="18"/>
        <v>5425</v>
      </c>
      <c r="AF87" s="29">
        <f t="shared" si="18"/>
        <v>0</v>
      </c>
      <c r="AG87" s="29">
        <f t="shared" si="18"/>
        <v>5425</v>
      </c>
      <c r="AH87" s="29">
        <f t="shared" si="18"/>
        <v>0</v>
      </c>
      <c r="AI87" s="29">
        <f t="shared" si="18"/>
        <v>0</v>
      </c>
      <c r="AJ87" s="51">
        <f t="shared" si="18"/>
        <v>5425</v>
      </c>
      <c r="AK87" s="51">
        <f t="shared" si="18"/>
        <v>0</v>
      </c>
      <c r="AL87" s="51">
        <f t="shared" si="18"/>
        <v>0</v>
      </c>
      <c r="AM87" s="42">
        <f t="shared" si="19"/>
        <v>16275</v>
      </c>
    </row>
    <row r="88" spans="1:39">
      <c r="A88" s="4" t="s">
        <v>64</v>
      </c>
      <c r="B88" s="5"/>
      <c r="C88" s="6"/>
      <c r="D88" s="49">
        <v>0</v>
      </c>
      <c r="E88" s="51">
        <v>0</v>
      </c>
      <c r="F88" s="23">
        <v>0</v>
      </c>
      <c r="G88" s="29">
        <v>0</v>
      </c>
      <c r="H88" s="23">
        <f>F56*H36*31</f>
        <v>5425</v>
      </c>
      <c r="I88" s="29">
        <v>0</v>
      </c>
      <c r="J88" s="51">
        <v>0</v>
      </c>
      <c r="K88" s="51">
        <f>J56*K36*30</f>
        <v>5250</v>
      </c>
      <c r="L88" s="53">
        <v>0</v>
      </c>
      <c r="M88" s="51">
        <f t="shared" si="16"/>
        <v>10675</v>
      </c>
      <c r="N88" s="49">
        <v>0</v>
      </c>
      <c r="O88" s="51">
        <v>0</v>
      </c>
      <c r="P88" s="51">
        <v>0</v>
      </c>
      <c r="Q88" s="51">
        <v>0</v>
      </c>
      <c r="R88" s="51">
        <v>0</v>
      </c>
      <c r="S88" s="23">
        <f>F55*S36/2*30</f>
        <v>5250</v>
      </c>
      <c r="T88" s="29">
        <v>0</v>
      </c>
      <c r="U88" s="23">
        <f>F56*U36*31</f>
        <v>5425</v>
      </c>
      <c r="V88" s="29">
        <v>0</v>
      </c>
      <c r="W88" s="51">
        <v>0</v>
      </c>
      <c r="X88" s="51">
        <f>J56*X36*30</f>
        <v>5250</v>
      </c>
      <c r="Y88" s="51">
        <v>0</v>
      </c>
      <c r="Z88" s="42">
        <f t="shared" si="17"/>
        <v>15925</v>
      </c>
      <c r="AA88" s="49">
        <f t="shared" si="20"/>
        <v>0</v>
      </c>
      <c r="AB88" s="51">
        <f t="shared" si="21"/>
        <v>0</v>
      </c>
      <c r="AC88" s="51">
        <f t="shared" si="18"/>
        <v>0</v>
      </c>
      <c r="AD88" s="51">
        <f t="shared" si="18"/>
        <v>0</v>
      </c>
      <c r="AE88" s="51">
        <f t="shared" si="18"/>
        <v>0</v>
      </c>
      <c r="AF88" s="29">
        <f t="shared" si="18"/>
        <v>5250</v>
      </c>
      <c r="AG88" s="29">
        <f t="shared" si="18"/>
        <v>0</v>
      </c>
      <c r="AH88" s="29">
        <f t="shared" si="18"/>
        <v>5425</v>
      </c>
      <c r="AI88" s="29">
        <f t="shared" si="18"/>
        <v>0</v>
      </c>
      <c r="AJ88" s="51">
        <f t="shared" si="18"/>
        <v>0</v>
      </c>
      <c r="AK88" s="51">
        <f t="shared" si="18"/>
        <v>5250</v>
      </c>
      <c r="AL88" s="51">
        <f t="shared" si="18"/>
        <v>0</v>
      </c>
      <c r="AM88" s="42">
        <f t="shared" si="19"/>
        <v>15925</v>
      </c>
    </row>
    <row r="89" spans="1:39">
      <c r="A89" s="4" t="s">
        <v>65</v>
      </c>
      <c r="B89" s="5"/>
      <c r="C89" s="6"/>
      <c r="D89" s="49">
        <v>0</v>
      </c>
      <c r="E89" s="51">
        <v>0</v>
      </c>
      <c r="F89" s="23">
        <v>0</v>
      </c>
      <c r="G89" s="29">
        <v>0</v>
      </c>
      <c r="H89" s="29">
        <v>0</v>
      </c>
      <c r="I89" s="23">
        <f>F57*I36/2*30</f>
        <v>5250</v>
      </c>
      <c r="J89" s="51">
        <v>0</v>
      </c>
      <c r="K89" s="51">
        <v>0</v>
      </c>
      <c r="L89" s="53">
        <f>J57*L36*31</f>
        <v>6510</v>
      </c>
      <c r="M89" s="51">
        <f t="shared" si="16"/>
        <v>11760</v>
      </c>
      <c r="N89" s="49">
        <v>0</v>
      </c>
      <c r="O89" s="51">
        <v>0</v>
      </c>
      <c r="P89" s="51">
        <v>0</v>
      </c>
      <c r="Q89" s="51">
        <v>0</v>
      </c>
      <c r="R89" s="51">
        <v>0</v>
      </c>
      <c r="S89" s="29">
        <v>0</v>
      </c>
      <c r="T89" s="23">
        <f>J57*T36/2*31</f>
        <v>6510</v>
      </c>
      <c r="U89" s="29">
        <v>0</v>
      </c>
      <c r="V89" s="23">
        <f>F57*V36/2*30</f>
        <v>5250</v>
      </c>
      <c r="W89" s="51">
        <v>0</v>
      </c>
      <c r="X89" s="51">
        <v>0</v>
      </c>
      <c r="Y89" s="51">
        <f>J57*Y36*31</f>
        <v>6510</v>
      </c>
      <c r="Z89" s="42">
        <f t="shared" si="17"/>
        <v>18270</v>
      </c>
      <c r="AA89" s="49">
        <f t="shared" si="20"/>
        <v>0</v>
      </c>
      <c r="AB89" s="51">
        <f t="shared" si="21"/>
        <v>0</v>
      </c>
      <c r="AC89" s="51">
        <f t="shared" si="18"/>
        <v>0</v>
      </c>
      <c r="AD89" s="51">
        <f t="shared" si="18"/>
        <v>0</v>
      </c>
      <c r="AE89" s="51">
        <f t="shared" si="18"/>
        <v>0</v>
      </c>
      <c r="AF89" s="29">
        <f t="shared" si="18"/>
        <v>0</v>
      </c>
      <c r="AG89" s="29">
        <f t="shared" si="18"/>
        <v>6510</v>
      </c>
      <c r="AH89" s="29">
        <f t="shared" si="18"/>
        <v>0</v>
      </c>
      <c r="AI89" s="29">
        <f t="shared" si="18"/>
        <v>5250</v>
      </c>
      <c r="AJ89" s="51">
        <f t="shared" si="18"/>
        <v>0</v>
      </c>
      <c r="AK89" s="51">
        <f t="shared" si="18"/>
        <v>0</v>
      </c>
      <c r="AL89" s="51">
        <f t="shared" si="18"/>
        <v>6510</v>
      </c>
      <c r="AM89" s="42">
        <f t="shared" si="19"/>
        <v>18270</v>
      </c>
    </row>
    <row r="90" spans="1:39" ht="15.75" thickBot="1">
      <c r="A90" s="4" t="s">
        <v>66</v>
      </c>
      <c r="B90" s="5"/>
      <c r="C90" s="6"/>
      <c r="D90" s="49">
        <v>0</v>
      </c>
      <c r="E90" s="51">
        <v>0</v>
      </c>
      <c r="F90" s="29">
        <v>0</v>
      </c>
      <c r="G90" s="29">
        <v>0</v>
      </c>
      <c r="H90" s="29">
        <v>0</v>
      </c>
      <c r="I90" s="29">
        <v>0</v>
      </c>
      <c r="J90" s="51">
        <f>J58*J36/2*31</f>
        <v>6510</v>
      </c>
      <c r="K90" s="51">
        <v>0</v>
      </c>
      <c r="L90" s="53">
        <v>0</v>
      </c>
      <c r="M90" s="51">
        <f t="shared" si="16"/>
        <v>6510</v>
      </c>
      <c r="N90" s="49">
        <f>J58*N36*31</f>
        <v>3255</v>
      </c>
      <c r="O90" s="51">
        <f>J58*O36*28</f>
        <v>2940</v>
      </c>
      <c r="P90" s="51">
        <v>0</v>
      </c>
      <c r="Q90" s="51">
        <v>0</v>
      </c>
      <c r="R90" s="51">
        <v>0</v>
      </c>
      <c r="S90" s="29">
        <v>0</v>
      </c>
      <c r="T90" s="29">
        <v>0</v>
      </c>
      <c r="U90" s="23">
        <f>F58*U36*31</f>
        <v>5425</v>
      </c>
      <c r="V90" s="29">
        <v>0</v>
      </c>
      <c r="W90" s="51">
        <f>J58*W36/2*31</f>
        <v>6510</v>
      </c>
      <c r="X90" s="51">
        <v>0</v>
      </c>
      <c r="Y90" s="51">
        <v>0</v>
      </c>
      <c r="Z90" s="42">
        <f t="shared" si="17"/>
        <v>18130</v>
      </c>
      <c r="AA90" s="49">
        <f t="shared" si="20"/>
        <v>3255</v>
      </c>
      <c r="AB90" s="59">
        <f t="shared" si="21"/>
        <v>2940</v>
      </c>
      <c r="AC90" s="59">
        <f t="shared" si="18"/>
        <v>0</v>
      </c>
      <c r="AD90" s="59">
        <f t="shared" si="18"/>
        <v>0</v>
      </c>
      <c r="AE90" s="51">
        <f t="shared" si="18"/>
        <v>0</v>
      </c>
      <c r="AF90" s="85">
        <f t="shared" si="18"/>
        <v>0</v>
      </c>
      <c r="AG90" s="85">
        <f t="shared" si="18"/>
        <v>0</v>
      </c>
      <c r="AH90" s="85">
        <f t="shared" si="18"/>
        <v>5425</v>
      </c>
      <c r="AI90" s="85">
        <f t="shared" si="18"/>
        <v>0</v>
      </c>
      <c r="AJ90" s="51">
        <f t="shared" si="18"/>
        <v>6510</v>
      </c>
      <c r="AK90" s="51">
        <f t="shared" si="18"/>
        <v>0</v>
      </c>
      <c r="AL90" s="51">
        <f t="shared" si="18"/>
        <v>0</v>
      </c>
      <c r="AM90" s="42">
        <f t="shared" si="19"/>
        <v>18130</v>
      </c>
    </row>
    <row r="91" spans="1:39" ht="15.75" thickBot="1">
      <c r="A91" s="13" t="s">
        <v>82</v>
      </c>
      <c r="B91" s="14"/>
      <c r="C91" s="15"/>
      <c r="D91" s="52">
        <f t="shared" ref="D91:L91" si="22">SUM(D85:D90)</f>
        <v>1650</v>
      </c>
      <c r="E91" s="54">
        <f t="shared" si="22"/>
        <v>1705</v>
      </c>
      <c r="F91" s="25">
        <f t="shared" si="22"/>
        <v>2400</v>
      </c>
      <c r="G91" s="25">
        <f t="shared" si="22"/>
        <v>7130</v>
      </c>
      <c r="H91" s="25">
        <f t="shared" si="22"/>
        <v>7130</v>
      </c>
      <c r="I91" s="25">
        <f t="shared" si="22"/>
        <v>7650</v>
      </c>
      <c r="J91" s="54">
        <f t="shared" si="22"/>
        <v>13640</v>
      </c>
      <c r="K91" s="54">
        <f t="shared" si="22"/>
        <v>6900</v>
      </c>
      <c r="L91" s="55">
        <f t="shared" si="22"/>
        <v>8215</v>
      </c>
      <c r="M91" s="54">
        <f t="shared" si="16"/>
        <v>56420</v>
      </c>
      <c r="N91" s="52">
        <f t="shared" ref="N91:Y91" si="23">SUM(N85:N90)</f>
        <v>4960</v>
      </c>
      <c r="O91" s="54">
        <f t="shared" si="23"/>
        <v>4480</v>
      </c>
      <c r="P91" s="54">
        <f t="shared" si="23"/>
        <v>1705</v>
      </c>
      <c r="Q91" s="54">
        <f t="shared" si="23"/>
        <v>2400</v>
      </c>
      <c r="R91" s="54">
        <f t="shared" si="23"/>
        <v>7130</v>
      </c>
      <c r="S91" s="25">
        <f t="shared" si="23"/>
        <v>7650</v>
      </c>
      <c r="T91" s="25">
        <f t="shared" si="23"/>
        <v>13640</v>
      </c>
      <c r="U91" s="25">
        <f t="shared" si="23"/>
        <v>12555</v>
      </c>
      <c r="V91" s="25">
        <f t="shared" si="23"/>
        <v>7650</v>
      </c>
      <c r="W91" s="54">
        <f t="shared" si="23"/>
        <v>13640</v>
      </c>
      <c r="X91" s="54">
        <f t="shared" si="23"/>
        <v>6900</v>
      </c>
      <c r="Y91" s="54">
        <f t="shared" si="23"/>
        <v>8215</v>
      </c>
      <c r="Z91" s="43">
        <f t="shared" si="17"/>
        <v>90925</v>
      </c>
      <c r="AA91" s="52">
        <f t="shared" ref="AA91:AL91" si="24">SUM(AA85:AA90)</f>
        <v>4960</v>
      </c>
      <c r="AB91" s="59">
        <f t="shared" si="24"/>
        <v>4480</v>
      </c>
      <c r="AC91" s="59">
        <f t="shared" si="24"/>
        <v>1705</v>
      </c>
      <c r="AD91" s="59">
        <f t="shared" si="24"/>
        <v>2400</v>
      </c>
      <c r="AE91" s="54">
        <f t="shared" si="24"/>
        <v>7130</v>
      </c>
      <c r="AF91" s="33">
        <f t="shared" si="24"/>
        <v>7650</v>
      </c>
      <c r="AG91" s="33">
        <f t="shared" si="24"/>
        <v>13640</v>
      </c>
      <c r="AH91" s="33">
        <f t="shared" si="24"/>
        <v>12555</v>
      </c>
      <c r="AI91" s="33">
        <f t="shared" si="24"/>
        <v>7650</v>
      </c>
      <c r="AJ91" s="54">
        <f t="shared" si="24"/>
        <v>13640</v>
      </c>
      <c r="AK91" s="54">
        <f t="shared" si="24"/>
        <v>6900</v>
      </c>
      <c r="AL91" s="54">
        <f t="shared" si="24"/>
        <v>8215</v>
      </c>
      <c r="AM91" s="43">
        <f t="shared" si="19"/>
        <v>90925</v>
      </c>
    </row>
    <row r="93" spans="1:39" ht="15.75" thickBot="1">
      <c r="A93" t="s">
        <v>87</v>
      </c>
    </row>
    <row r="94" spans="1:39" ht="15.75" thickBot="1">
      <c r="A94" s="1"/>
      <c r="B94" s="2"/>
      <c r="C94" s="2"/>
      <c r="D94" s="1"/>
      <c r="E94" s="2"/>
      <c r="F94" s="2"/>
      <c r="G94" s="24" t="str">
        <f>G72</f>
        <v>1 год</v>
      </c>
      <c r="H94" s="2"/>
      <c r="I94" s="2"/>
      <c r="J94" s="2"/>
      <c r="K94" s="2"/>
      <c r="L94" s="3"/>
      <c r="M94" s="41" t="s">
        <v>72</v>
      </c>
      <c r="N94" s="1"/>
      <c r="O94" s="2"/>
      <c r="P94" s="2"/>
      <c r="Q94" s="2"/>
      <c r="R94" s="2"/>
      <c r="S94" s="24" t="str">
        <f>S83</f>
        <v>2 год</v>
      </c>
      <c r="T94" s="2"/>
      <c r="U94" s="2"/>
      <c r="V94" s="2"/>
      <c r="W94" s="2"/>
      <c r="X94" s="2"/>
      <c r="Y94" s="3"/>
      <c r="Z94" s="26" t="s">
        <v>72</v>
      </c>
      <c r="AA94" s="1"/>
      <c r="AB94" s="2"/>
      <c r="AC94" s="2"/>
      <c r="AD94" s="2"/>
      <c r="AE94" s="2"/>
      <c r="AF94" s="24" t="str">
        <f>AF83</f>
        <v>3 год</v>
      </c>
      <c r="AG94" s="2"/>
      <c r="AH94" s="2"/>
      <c r="AI94" s="2"/>
      <c r="AJ94" s="2"/>
      <c r="AK94" s="2"/>
      <c r="AL94" s="3"/>
      <c r="AM94" s="26" t="s">
        <v>72</v>
      </c>
    </row>
    <row r="95" spans="1:39" ht="15.75" thickBot="1">
      <c r="A95" s="7"/>
      <c r="B95" s="8"/>
      <c r="C95" s="8"/>
      <c r="D95" s="32" t="s">
        <v>14</v>
      </c>
      <c r="E95" s="33" t="s">
        <v>1</v>
      </c>
      <c r="F95" s="33" t="s">
        <v>4</v>
      </c>
      <c r="G95" s="33" t="s">
        <v>5</v>
      </c>
      <c r="H95" s="33" t="s">
        <v>7</v>
      </c>
      <c r="I95" s="33" t="s">
        <v>9</v>
      </c>
      <c r="J95" s="33" t="s">
        <v>26</v>
      </c>
      <c r="K95" s="33" t="s">
        <v>22</v>
      </c>
      <c r="L95" s="34" t="s">
        <v>36</v>
      </c>
      <c r="M95" s="33" t="str">
        <f>M73</f>
        <v>1 год</v>
      </c>
      <c r="N95" s="32" t="s">
        <v>23</v>
      </c>
      <c r="O95" s="33" t="s">
        <v>24</v>
      </c>
      <c r="P95" s="33" t="s">
        <v>13</v>
      </c>
      <c r="Q95" s="33" t="s">
        <v>14</v>
      </c>
      <c r="R95" s="33" t="s">
        <v>1</v>
      </c>
      <c r="S95" s="33" t="s">
        <v>4</v>
      </c>
      <c r="T95" s="33" t="s">
        <v>5</v>
      </c>
      <c r="U95" s="33" t="s">
        <v>7</v>
      </c>
      <c r="V95" s="33" t="s">
        <v>9</v>
      </c>
      <c r="W95" s="33" t="s">
        <v>26</v>
      </c>
      <c r="X95" s="33" t="s">
        <v>22</v>
      </c>
      <c r="Y95" s="34" t="s">
        <v>36</v>
      </c>
      <c r="Z95" s="62" t="str">
        <f>Z84</f>
        <v>2 год</v>
      </c>
      <c r="AA95" s="32" t="s">
        <v>23</v>
      </c>
      <c r="AB95" s="33" t="s">
        <v>24</v>
      </c>
      <c r="AC95" s="33" t="s">
        <v>13</v>
      </c>
      <c r="AD95" s="33" t="s">
        <v>14</v>
      </c>
      <c r="AE95" s="33" t="s">
        <v>1</v>
      </c>
      <c r="AF95" s="33" t="s">
        <v>4</v>
      </c>
      <c r="AG95" s="33" t="s">
        <v>5</v>
      </c>
      <c r="AH95" s="33" t="s">
        <v>7</v>
      </c>
      <c r="AI95" s="33" t="s">
        <v>9</v>
      </c>
      <c r="AJ95" s="33" t="s">
        <v>26</v>
      </c>
      <c r="AK95" s="33" t="s">
        <v>22</v>
      </c>
      <c r="AL95" s="34" t="s">
        <v>36</v>
      </c>
      <c r="AM95" s="24" t="str">
        <f>AM84</f>
        <v>3 год</v>
      </c>
    </row>
    <row r="96" spans="1:39">
      <c r="A96" s="1" t="s">
        <v>29</v>
      </c>
      <c r="B96" s="2"/>
      <c r="C96" s="2"/>
      <c r="D96" s="61">
        <f>G44*D34*30</f>
        <v>22500</v>
      </c>
      <c r="E96" s="57">
        <f>G46*E34*31</f>
        <v>23250</v>
      </c>
      <c r="F96" s="24">
        <v>0</v>
      </c>
      <c r="G96" s="24">
        <v>0</v>
      </c>
      <c r="H96" s="24">
        <v>0</v>
      </c>
      <c r="I96" s="24">
        <v>0</v>
      </c>
      <c r="J96" s="57">
        <f>G45*J34*31</f>
        <v>23250</v>
      </c>
      <c r="K96" s="57">
        <f>G45*K34*30</f>
        <v>22500</v>
      </c>
      <c r="L96" s="58">
        <f>G45*L34*31</f>
        <v>23250</v>
      </c>
      <c r="M96" s="67">
        <f t="shared" ref="M96:M102" si="25">SUM(D96:L96)</f>
        <v>114750</v>
      </c>
      <c r="N96" s="61">
        <f>G45*N34*31</f>
        <v>23250</v>
      </c>
      <c r="O96" s="57">
        <f>G44*O34*28</f>
        <v>21000</v>
      </c>
      <c r="P96" s="57">
        <f>G46*P34*31</f>
        <v>23250</v>
      </c>
      <c r="Q96" s="57">
        <f>G44*P34*30</f>
        <v>22500</v>
      </c>
      <c r="R96" s="57">
        <f>G46*R34*31</f>
        <v>23250</v>
      </c>
      <c r="S96" s="24">
        <v>0</v>
      </c>
      <c r="T96" s="24">
        <v>0</v>
      </c>
      <c r="U96" s="24">
        <v>0</v>
      </c>
      <c r="V96" s="24">
        <v>0</v>
      </c>
      <c r="W96" s="57">
        <f>G45*W34*31</f>
        <v>23250</v>
      </c>
      <c r="X96" s="57">
        <f>G45*X34*30</f>
        <v>22500</v>
      </c>
      <c r="Y96" s="58">
        <f>G45*Y34*31</f>
        <v>23250</v>
      </c>
      <c r="Z96" s="26">
        <f t="shared" ref="Z96:Z102" si="26">SUM(N96:Y96)</f>
        <v>182250</v>
      </c>
      <c r="AA96" s="61">
        <f>N96</f>
        <v>23250</v>
      </c>
      <c r="AB96" s="57">
        <f>O96</f>
        <v>21000</v>
      </c>
      <c r="AC96" s="57">
        <f t="shared" ref="AC96:AL101" si="27">P96</f>
        <v>23250</v>
      </c>
      <c r="AD96" s="57">
        <f t="shared" si="27"/>
        <v>22500</v>
      </c>
      <c r="AE96" s="57">
        <f t="shared" si="27"/>
        <v>23250</v>
      </c>
      <c r="AF96" s="36">
        <f t="shared" si="27"/>
        <v>0</v>
      </c>
      <c r="AG96" s="36">
        <f t="shared" si="27"/>
        <v>0</v>
      </c>
      <c r="AH96" s="36">
        <f t="shared" si="27"/>
        <v>0</v>
      </c>
      <c r="AI96" s="36">
        <f t="shared" si="27"/>
        <v>0</v>
      </c>
      <c r="AJ96" s="57">
        <f t="shared" si="27"/>
        <v>23250</v>
      </c>
      <c r="AK96" s="57">
        <f t="shared" si="27"/>
        <v>22500</v>
      </c>
      <c r="AL96" s="58">
        <f t="shared" si="27"/>
        <v>23250</v>
      </c>
      <c r="AM96" s="26">
        <f t="shared" ref="AM96:AM102" si="28">SUM(AA96:AL96)</f>
        <v>182250</v>
      </c>
    </row>
    <row r="97" spans="1:39">
      <c r="A97" s="4" t="s">
        <v>62</v>
      </c>
      <c r="B97" s="5"/>
      <c r="C97" s="5"/>
      <c r="D97" s="49">
        <f>G44*D35*30</f>
        <v>225000</v>
      </c>
      <c r="E97" s="51">
        <f>G47*E35*31</f>
        <v>271250</v>
      </c>
      <c r="F97" s="23">
        <v>0</v>
      </c>
      <c r="G97" s="23">
        <v>0</v>
      </c>
      <c r="H97" s="23">
        <v>0</v>
      </c>
      <c r="I97" s="29">
        <v>0</v>
      </c>
      <c r="J97" s="51">
        <f>G45*J35*31</f>
        <v>232500</v>
      </c>
      <c r="K97" s="51">
        <f>G45*K35*30</f>
        <v>225000</v>
      </c>
      <c r="L97" s="53">
        <f>G45*L35*31</f>
        <v>232500</v>
      </c>
      <c r="M97" s="64">
        <f t="shared" si="25"/>
        <v>1186250</v>
      </c>
      <c r="N97" s="49">
        <f>G45*N35*31</f>
        <v>232500</v>
      </c>
      <c r="O97" s="51">
        <f>G44*O35*28</f>
        <v>210000</v>
      </c>
      <c r="P97" s="51">
        <f>G47*P35*31</f>
        <v>271250</v>
      </c>
      <c r="Q97" s="51">
        <f>G51*Q35*30</f>
        <v>300000</v>
      </c>
      <c r="R97" s="51">
        <f>G47*R35*31</f>
        <v>271250</v>
      </c>
      <c r="S97" s="23">
        <v>0</v>
      </c>
      <c r="T97" s="23">
        <v>0</v>
      </c>
      <c r="U97" s="23">
        <v>0</v>
      </c>
      <c r="V97" s="29">
        <v>0</v>
      </c>
      <c r="W97" s="51">
        <f>G45*W35*31</f>
        <v>232500</v>
      </c>
      <c r="X97" s="51">
        <f>G45*X35*30</f>
        <v>225000</v>
      </c>
      <c r="Y97" s="53">
        <f>G45*Y35*31</f>
        <v>232500</v>
      </c>
      <c r="Z97" s="27">
        <f t="shared" si="26"/>
        <v>1975000</v>
      </c>
      <c r="AA97" s="49">
        <f>N97</f>
        <v>232500</v>
      </c>
      <c r="AB97" s="51">
        <f t="shared" ref="AB97:AB101" si="29">O97</f>
        <v>210000</v>
      </c>
      <c r="AC97" s="51">
        <f t="shared" si="27"/>
        <v>271250</v>
      </c>
      <c r="AD97" s="51">
        <f t="shared" si="27"/>
        <v>300000</v>
      </c>
      <c r="AE97" s="51">
        <f t="shared" si="27"/>
        <v>271250</v>
      </c>
      <c r="AF97" s="29">
        <f t="shared" si="27"/>
        <v>0</v>
      </c>
      <c r="AG97" s="29">
        <f t="shared" si="27"/>
        <v>0</v>
      </c>
      <c r="AH97" s="29">
        <f t="shared" si="27"/>
        <v>0</v>
      </c>
      <c r="AI97" s="29">
        <f t="shared" si="27"/>
        <v>0</v>
      </c>
      <c r="AJ97" s="51">
        <f t="shared" si="27"/>
        <v>232500</v>
      </c>
      <c r="AK97" s="51">
        <f t="shared" si="27"/>
        <v>225000</v>
      </c>
      <c r="AL97" s="53">
        <f t="shared" si="27"/>
        <v>232500</v>
      </c>
      <c r="AM97" s="27">
        <f t="shared" si="28"/>
        <v>1975000</v>
      </c>
    </row>
    <row r="98" spans="1:39">
      <c r="A98" s="4" t="s">
        <v>77</v>
      </c>
      <c r="B98" s="5"/>
      <c r="C98" s="5"/>
      <c r="D98" s="49">
        <v>0</v>
      </c>
      <c r="E98" s="51">
        <v>0</v>
      </c>
      <c r="F98" s="23">
        <v>0</v>
      </c>
      <c r="G98" s="29">
        <v>0</v>
      </c>
      <c r="H98" s="29">
        <v>0</v>
      </c>
      <c r="I98" s="29">
        <v>0</v>
      </c>
      <c r="J98" s="51">
        <f>G55*J36*31/2</f>
        <v>759500</v>
      </c>
      <c r="K98" s="51">
        <v>0</v>
      </c>
      <c r="L98" s="53">
        <v>0</v>
      </c>
      <c r="M98" s="64">
        <f t="shared" si="25"/>
        <v>759500</v>
      </c>
      <c r="N98" s="49">
        <v>0</v>
      </c>
      <c r="O98" s="51">
        <v>0</v>
      </c>
      <c r="P98" s="51">
        <v>0</v>
      </c>
      <c r="Q98" s="51">
        <f>G53*Q36*30/2</f>
        <v>63000</v>
      </c>
      <c r="R98" s="51">
        <f>G55*R36*31</f>
        <v>759500</v>
      </c>
      <c r="S98" s="29">
        <v>0</v>
      </c>
      <c r="T98" s="29">
        <v>0</v>
      </c>
      <c r="U98" s="29">
        <v>0</v>
      </c>
      <c r="V98" s="29">
        <v>0</v>
      </c>
      <c r="W98" s="51">
        <f>G55*W36/2*31</f>
        <v>759500</v>
      </c>
      <c r="X98" s="51">
        <v>0</v>
      </c>
      <c r="Y98" s="53">
        <v>0</v>
      </c>
      <c r="Z98" s="27">
        <f t="shared" si="26"/>
        <v>1582000</v>
      </c>
      <c r="AA98" s="49">
        <f t="shared" ref="AA98:AA101" si="30">N98</f>
        <v>0</v>
      </c>
      <c r="AB98" s="51">
        <f t="shared" si="29"/>
        <v>0</v>
      </c>
      <c r="AC98" s="51">
        <f t="shared" si="27"/>
        <v>0</v>
      </c>
      <c r="AD98" s="51">
        <f t="shared" si="27"/>
        <v>63000</v>
      </c>
      <c r="AE98" s="51">
        <f t="shared" si="27"/>
        <v>759500</v>
      </c>
      <c r="AF98" s="29">
        <f t="shared" si="27"/>
        <v>0</v>
      </c>
      <c r="AG98" s="29">
        <f t="shared" si="27"/>
        <v>0</v>
      </c>
      <c r="AH98" s="29">
        <f t="shared" si="27"/>
        <v>0</v>
      </c>
      <c r="AI98" s="29">
        <f t="shared" si="27"/>
        <v>0</v>
      </c>
      <c r="AJ98" s="51">
        <f t="shared" si="27"/>
        <v>759500</v>
      </c>
      <c r="AK98" s="51">
        <f t="shared" si="27"/>
        <v>0</v>
      </c>
      <c r="AL98" s="53">
        <f t="shared" si="27"/>
        <v>0</v>
      </c>
      <c r="AM98" s="27">
        <f t="shared" si="28"/>
        <v>1582000</v>
      </c>
    </row>
    <row r="99" spans="1:39">
      <c r="A99" s="4" t="s">
        <v>78</v>
      </c>
      <c r="B99" s="5"/>
      <c r="C99" s="5"/>
      <c r="D99" s="49">
        <v>0</v>
      </c>
      <c r="E99" s="51">
        <v>0</v>
      </c>
      <c r="F99" s="29">
        <v>0</v>
      </c>
      <c r="G99" s="29">
        <v>0</v>
      </c>
      <c r="H99" s="29">
        <v>0</v>
      </c>
      <c r="I99" s="29">
        <v>0</v>
      </c>
      <c r="J99" s="51">
        <v>0</v>
      </c>
      <c r="K99" s="51">
        <f>G56*K36*30</f>
        <v>735000</v>
      </c>
      <c r="L99" s="53">
        <v>0</v>
      </c>
      <c r="M99" s="64">
        <f t="shared" si="25"/>
        <v>735000</v>
      </c>
      <c r="N99" s="49">
        <v>0</v>
      </c>
      <c r="O99" s="51">
        <v>0</v>
      </c>
      <c r="P99" s="51">
        <v>0</v>
      </c>
      <c r="Q99" s="51">
        <v>0</v>
      </c>
      <c r="R99" s="51">
        <v>0</v>
      </c>
      <c r="S99" s="29">
        <v>0</v>
      </c>
      <c r="T99" s="29">
        <v>0</v>
      </c>
      <c r="U99" s="29">
        <v>0</v>
      </c>
      <c r="V99" s="29">
        <v>0</v>
      </c>
      <c r="W99" s="51">
        <v>0</v>
      </c>
      <c r="X99" s="51">
        <f>G56*X36*30</f>
        <v>735000</v>
      </c>
      <c r="Y99" s="53">
        <v>0</v>
      </c>
      <c r="Z99" s="27">
        <f t="shared" si="26"/>
        <v>735000</v>
      </c>
      <c r="AA99" s="49">
        <f t="shared" si="30"/>
        <v>0</v>
      </c>
      <c r="AB99" s="51">
        <f t="shared" si="29"/>
        <v>0</v>
      </c>
      <c r="AC99" s="51">
        <f t="shared" si="27"/>
        <v>0</v>
      </c>
      <c r="AD99" s="51">
        <f t="shared" si="27"/>
        <v>0</v>
      </c>
      <c r="AE99" s="51">
        <f t="shared" si="27"/>
        <v>0</v>
      </c>
      <c r="AF99" s="29">
        <f t="shared" si="27"/>
        <v>0</v>
      </c>
      <c r="AG99" s="29">
        <f t="shared" si="27"/>
        <v>0</v>
      </c>
      <c r="AH99" s="29">
        <f t="shared" si="27"/>
        <v>0</v>
      </c>
      <c r="AI99" s="29">
        <f t="shared" si="27"/>
        <v>0</v>
      </c>
      <c r="AJ99" s="51">
        <f t="shared" si="27"/>
        <v>0</v>
      </c>
      <c r="AK99" s="51">
        <f t="shared" si="27"/>
        <v>735000</v>
      </c>
      <c r="AL99" s="53">
        <f t="shared" si="27"/>
        <v>0</v>
      </c>
      <c r="AM99" s="27">
        <f t="shared" si="28"/>
        <v>735000</v>
      </c>
    </row>
    <row r="100" spans="1:39">
      <c r="A100" s="4" t="s">
        <v>79</v>
      </c>
      <c r="B100" s="5"/>
      <c r="C100" s="5"/>
      <c r="D100" s="49">
        <v>0</v>
      </c>
      <c r="E100" s="51">
        <v>0</v>
      </c>
      <c r="F100" s="29">
        <v>0</v>
      </c>
      <c r="G100" s="29">
        <v>0</v>
      </c>
      <c r="H100" s="29">
        <v>0</v>
      </c>
      <c r="I100" s="29">
        <v>0</v>
      </c>
      <c r="J100" s="51">
        <v>0</v>
      </c>
      <c r="K100" s="51">
        <v>0</v>
      </c>
      <c r="L100" s="53">
        <f>G57*L36*31</f>
        <v>1302000</v>
      </c>
      <c r="M100" s="64">
        <f t="shared" si="25"/>
        <v>1302000</v>
      </c>
      <c r="N100" s="49">
        <v>0</v>
      </c>
      <c r="O100" s="51">
        <v>0</v>
      </c>
      <c r="P100" s="51">
        <v>0</v>
      </c>
      <c r="Q100" s="51">
        <v>0</v>
      </c>
      <c r="R100" s="51">
        <v>0</v>
      </c>
      <c r="S100" s="29">
        <v>0</v>
      </c>
      <c r="T100" s="29">
        <v>0</v>
      </c>
      <c r="U100" s="29">
        <v>0</v>
      </c>
      <c r="V100" s="29">
        <v>0</v>
      </c>
      <c r="W100" s="51">
        <v>0</v>
      </c>
      <c r="X100" s="51">
        <v>0</v>
      </c>
      <c r="Y100" s="53">
        <f>G57*Y36*31</f>
        <v>1302000</v>
      </c>
      <c r="Z100" s="27">
        <f t="shared" si="26"/>
        <v>1302000</v>
      </c>
      <c r="AA100" s="49">
        <f t="shared" si="30"/>
        <v>0</v>
      </c>
      <c r="AB100" s="51">
        <f t="shared" si="29"/>
        <v>0</v>
      </c>
      <c r="AC100" s="51">
        <f t="shared" si="27"/>
        <v>0</v>
      </c>
      <c r="AD100" s="51">
        <f t="shared" si="27"/>
        <v>0</v>
      </c>
      <c r="AE100" s="51">
        <f t="shared" si="27"/>
        <v>0</v>
      </c>
      <c r="AF100" s="29">
        <f t="shared" si="27"/>
        <v>0</v>
      </c>
      <c r="AG100" s="29">
        <f t="shared" si="27"/>
        <v>0</v>
      </c>
      <c r="AH100" s="29">
        <f t="shared" si="27"/>
        <v>0</v>
      </c>
      <c r="AI100" s="29">
        <f t="shared" si="27"/>
        <v>0</v>
      </c>
      <c r="AJ100" s="51">
        <f t="shared" si="27"/>
        <v>0</v>
      </c>
      <c r="AK100" s="51">
        <f t="shared" si="27"/>
        <v>0</v>
      </c>
      <c r="AL100" s="53">
        <f t="shared" si="27"/>
        <v>1302000</v>
      </c>
      <c r="AM100" s="27">
        <f t="shared" si="28"/>
        <v>1302000</v>
      </c>
    </row>
    <row r="101" spans="1:39" ht="15.75" thickBot="1">
      <c r="A101" s="7" t="s">
        <v>80</v>
      </c>
      <c r="B101" s="8"/>
      <c r="C101" s="8"/>
      <c r="D101" s="66">
        <v>0</v>
      </c>
      <c r="E101" s="59">
        <v>0</v>
      </c>
      <c r="F101" s="33">
        <v>0</v>
      </c>
      <c r="G101" s="33">
        <v>0</v>
      </c>
      <c r="H101" s="33">
        <v>0</v>
      </c>
      <c r="I101" s="33">
        <v>0</v>
      </c>
      <c r="J101" s="59">
        <f>G58*J36/2*31</f>
        <v>1464750</v>
      </c>
      <c r="K101" s="59">
        <v>0</v>
      </c>
      <c r="L101" s="60">
        <v>0</v>
      </c>
      <c r="M101" s="68">
        <f t="shared" si="25"/>
        <v>1464750</v>
      </c>
      <c r="N101" s="66">
        <f>G58*N36*31</f>
        <v>732375</v>
      </c>
      <c r="O101" s="59">
        <f>G58*O36*28</f>
        <v>661500</v>
      </c>
      <c r="P101" s="59">
        <v>0</v>
      </c>
      <c r="Q101" s="59">
        <v>0</v>
      </c>
      <c r="R101" s="59">
        <v>0</v>
      </c>
      <c r="S101" s="33">
        <v>0</v>
      </c>
      <c r="T101" s="33">
        <v>0</v>
      </c>
      <c r="U101" s="33">
        <v>0</v>
      </c>
      <c r="V101" s="33">
        <v>0</v>
      </c>
      <c r="W101" s="59">
        <f>G58*W36/2*31</f>
        <v>1464750</v>
      </c>
      <c r="X101" s="59">
        <v>0</v>
      </c>
      <c r="Y101" s="60">
        <v>0</v>
      </c>
      <c r="Z101" s="34">
        <f t="shared" si="26"/>
        <v>2858625</v>
      </c>
      <c r="AA101" s="66">
        <f t="shared" si="30"/>
        <v>732375</v>
      </c>
      <c r="AB101" s="59">
        <f t="shared" si="29"/>
        <v>661500</v>
      </c>
      <c r="AC101" s="59">
        <f t="shared" si="27"/>
        <v>0</v>
      </c>
      <c r="AD101" s="59">
        <f t="shared" si="27"/>
        <v>0</v>
      </c>
      <c r="AE101" s="59">
        <f t="shared" si="27"/>
        <v>0</v>
      </c>
      <c r="AF101" s="85">
        <f t="shared" si="27"/>
        <v>0</v>
      </c>
      <c r="AG101" s="85">
        <f t="shared" si="27"/>
        <v>0</v>
      </c>
      <c r="AH101" s="85">
        <f t="shared" si="27"/>
        <v>0</v>
      </c>
      <c r="AI101" s="85">
        <f t="shared" si="27"/>
        <v>0</v>
      </c>
      <c r="AJ101" s="59">
        <f t="shared" si="27"/>
        <v>1464750</v>
      </c>
      <c r="AK101" s="59">
        <f t="shared" si="27"/>
        <v>0</v>
      </c>
      <c r="AL101" s="60">
        <f t="shared" si="27"/>
        <v>0</v>
      </c>
      <c r="AM101" s="34">
        <f t="shared" si="28"/>
        <v>2858625</v>
      </c>
    </row>
    <row r="102" spans="1:39" ht="15.75" thickBot="1">
      <c r="A102" s="13" t="s">
        <v>81</v>
      </c>
      <c r="B102" s="14"/>
      <c r="C102" s="14"/>
      <c r="D102" s="52">
        <f t="shared" ref="D102:L102" si="31">SUM(D96:D101)</f>
        <v>247500</v>
      </c>
      <c r="E102" s="54">
        <f t="shared" si="31"/>
        <v>294500</v>
      </c>
      <c r="F102" s="25">
        <f t="shared" si="31"/>
        <v>0</v>
      </c>
      <c r="G102" s="25">
        <f t="shared" si="31"/>
        <v>0</v>
      </c>
      <c r="H102" s="25">
        <f t="shared" si="31"/>
        <v>0</v>
      </c>
      <c r="I102" s="25">
        <f t="shared" si="31"/>
        <v>0</v>
      </c>
      <c r="J102" s="54">
        <f t="shared" si="31"/>
        <v>2480000</v>
      </c>
      <c r="K102" s="54">
        <f t="shared" si="31"/>
        <v>982500</v>
      </c>
      <c r="L102" s="55">
        <f t="shared" si="31"/>
        <v>1557750</v>
      </c>
      <c r="M102" s="69">
        <f t="shared" si="25"/>
        <v>5562250</v>
      </c>
      <c r="N102" s="52">
        <f t="shared" ref="N102:Y102" si="32">SUM(N96:N101)</f>
        <v>988125</v>
      </c>
      <c r="O102" s="54">
        <f t="shared" si="32"/>
        <v>892500</v>
      </c>
      <c r="P102" s="54">
        <f t="shared" si="32"/>
        <v>294500</v>
      </c>
      <c r="Q102" s="54">
        <f t="shared" si="32"/>
        <v>385500</v>
      </c>
      <c r="R102" s="54">
        <f t="shared" si="32"/>
        <v>1054000</v>
      </c>
      <c r="S102" s="25">
        <v>0</v>
      </c>
      <c r="T102" s="25">
        <f t="shared" si="32"/>
        <v>0</v>
      </c>
      <c r="U102" s="25">
        <f t="shared" si="32"/>
        <v>0</v>
      </c>
      <c r="V102" s="25">
        <f t="shared" si="32"/>
        <v>0</v>
      </c>
      <c r="W102" s="54">
        <f t="shared" si="32"/>
        <v>2480000</v>
      </c>
      <c r="X102" s="54">
        <f t="shared" si="32"/>
        <v>982500</v>
      </c>
      <c r="Y102" s="55">
        <f t="shared" si="32"/>
        <v>1557750</v>
      </c>
      <c r="Z102" s="28">
        <f t="shared" si="26"/>
        <v>8634875</v>
      </c>
      <c r="AA102" s="52">
        <f>SUM(AA96:AA101)</f>
        <v>988125</v>
      </c>
      <c r="AB102" s="54">
        <f>SUM(AB96:AB101)</f>
        <v>892500</v>
      </c>
      <c r="AC102" s="54">
        <f>SUM(AC96:AC101)</f>
        <v>294500</v>
      </c>
      <c r="AD102" s="54">
        <f>SUM(AD96:AD101)</f>
        <v>385500</v>
      </c>
      <c r="AE102" s="54">
        <f>SUM(AE96:AE101)</f>
        <v>1054000</v>
      </c>
      <c r="AF102" s="25">
        <v>0</v>
      </c>
      <c r="AG102" s="25">
        <f t="shared" ref="AG102:AL102" si="33">SUM(AG96:AG101)</f>
        <v>0</v>
      </c>
      <c r="AH102" s="25">
        <f t="shared" si="33"/>
        <v>0</v>
      </c>
      <c r="AI102" s="25">
        <f t="shared" si="33"/>
        <v>0</v>
      </c>
      <c r="AJ102" s="54">
        <f t="shared" si="33"/>
        <v>2480000</v>
      </c>
      <c r="AK102" s="54">
        <f t="shared" si="33"/>
        <v>982500</v>
      </c>
      <c r="AL102" s="55">
        <f t="shared" si="33"/>
        <v>1557750</v>
      </c>
      <c r="AM102" s="28">
        <f t="shared" si="28"/>
        <v>8634875</v>
      </c>
    </row>
    <row r="103" spans="1:39">
      <c r="M103" s="64">
        <f>M102/1000</f>
        <v>5562.25</v>
      </c>
      <c r="Z103" s="74">
        <f>Z102/1000</f>
        <v>8634.875</v>
      </c>
      <c r="AM103" s="74">
        <f>AM102/1000</f>
        <v>8634.875</v>
      </c>
    </row>
    <row r="104" spans="1:39" ht="15.75" thickBot="1">
      <c r="A104" t="s">
        <v>85</v>
      </c>
    </row>
    <row r="105" spans="1:39" ht="15.75" thickBot="1">
      <c r="A105" s="1"/>
      <c r="B105" s="2"/>
      <c r="C105" s="3"/>
      <c r="D105" s="70"/>
      <c r="E105" s="70"/>
      <c r="F105" s="2"/>
      <c r="G105" s="24" t="str">
        <f>G83</f>
        <v>1 год</v>
      </c>
      <c r="H105" s="2"/>
      <c r="I105" s="2"/>
      <c r="J105" s="57"/>
      <c r="K105" s="57"/>
      <c r="L105" s="57"/>
      <c r="M105" s="67" t="s">
        <v>72</v>
      </c>
      <c r="N105" s="57"/>
      <c r="O105" s="57"/>
      <c r="P105" s="57"/>
      <c r="Q105" s="57"/>
      <c r="R105" s="57"/>
      <c r="S105" s="24" t="str">
        <f>S94</f>
        <v>2 год</v>
      </c>
      <c r="T105" s="24"/>
      <c r="U105" s="24"/>
      <c r="V105" s="24"/>
      <c r="W105" s="57"/>
      <c r="X105" s="57"/>
      <c r="Y105" s="57"/>
      <c r="Z105" s="41" t="s">
        <v>72</v>
      </c>
      <c r="AA105" s="57"/>
      <c r="AB105" s="57"/>
      <c r="AC105" s="57"/>
      <c r="AD105" s="57"/>
      <c r="AE105" s="57"/>
      <c r="AF105" s="24" t="str">
        <f>AF94</f>
        <v>3 год</v>
      </c>
      <c r="AG105" s="24"/>
      <c r="AH105" s="24"/>
      <c r="AI105" s="24"/>
      <c r="AJ105" s="57"/>
      <c r="AK105" s="57"/>
      <c r="AL105" s="57"/>
      <c r="AM105" s="41" t="s">
        <v>72</v>
      </c>
    </row>
    <row r="106" spans="1:39" ht="15.75" thickBot="1">
      <c r="A106" s="7"/>
      <c r="B106" s="8"/>
      <c r="C106" s="9"/>
      <c r="D106" s="59" t="s">
        <v>14</v>
      </c>
      <c r="E106" s="59" t="s">
        <v>1</v>
      </c>
      <c r="F106" s="33" t="s">
        <v>4</v>
      </c>
      <c r="G106" s="33" t="s">
        <v>5</v>
      </c>
      <c r="H106" s="33" t="s">
        <v>7</v>
      </c>
      <c r="I106" s="8" t="s">
        <v>9</v>
      </c>
      <c r="J106" s="59" t="s">
        <v>26</v>
      </c>
      <c r="K106" s="59" t="s">
        <v>22</v>
      </c>
      <c r="L106" s="59" t="s">
        <v>36</v>
      </c>
      <c r="M106" s="33" t="str">
        <f>M84</f>
        <v>1 год</v>
      </c>
      <c r="N106" s="59" t="s">
        <v>23</v>
      </c>
      <c r="O106" s="59" t="s">
        <v>24</v>
      </c>
      <c r="P106" s="59" t="s">
        <v>13</v>
      </c>
      <c r="Q106" s="59" t="s">
        <v>14</v>
      </c>
      <c r="R106" s="59" t="s">
        <v>1</v>
      </c>
      <c r="S106" s="33" t="s">
        <v>4</v>
      </c>
      <c r="T106" s="33" t="s">
        <v>5</v>
      </c>
      <c r="U106" s="33" t="s">
        <v>7</v>
      </c>
      <c r="V106" s="33" t="s">
        <v>9</v>
      </c>
      <c r="W106" s="59" t="s">
        <v>26</v>
      </c>
      <c r="X106" s="59" t="s">
        <v>22</v>
      </c>
      <c r="Y106" s="59" t="s">
        <v>36</v>
      </c>
      <c r="Z106" s="62" t="str">
        <f>Z95</f>
        <v>2 год</v>
      </c>
      <c r="AA106" s="59" t="s">
        <v>23</v>
      </c>
      <c r="AB106" s="59" t="s">
        <v>24</v>
      </c>
      <c r="AC106" s="59" t="s">
        <v>13</v>
      </c>
      <c r="AD106" s="59" t="s">
        <v>14</v>
      </c>
      <c r="AE106" s="59" t="s">
        <v>1</v>
      </c>
      <c r="AF106" s="33" t="s">
        <v>4</v>
      </c>
      <c r="AG106" s="33" t="s">
        <v>5</v>
      </c>
      <c r="AH106" s="33" t="s">
        <v>7</v>
      </c>
      <c r="AI106" s="33" t="s">
        <v>9</v>
      </c>
      <c r="AJ106" s="59" t="s">
        <v>26</v>
      </c>
      <c r="AK106" s="59" t="s">
        <v>22</v>
      </c>
      <c r="AL106" s="59" t="s">
        <v>36</v>
      </c>
      <c r="AM106" s="24" t="str">
        <f>AM95</f>
        <v>3 год</v>
      </c>
    </row>
    <row r="107" spans="1:39">
      <c r="A107" s="1" t="s">
        <v>29</v>
      </c>
      <c r="B107" s="2"/>
      <c r="C107" s="3"/>
      <c r="D107" s="57">
        <f>H44*D34*30</f>
        <v>75000</v>
      </c>
      <c r="E107" s="57">
        <f>H46*E34*31</f>
        <v>31000</v>
      </c>
      <c r="F107" s="24">
        <v>0</v>
      </c>
      <c r="G107" s="24">
        <v>0</v>
      </c>
      <c r="H107" s="24">
        <v>0</v>
      </c>
      <c r="I107" s="24">
        <v>0</v>
      </c>
      <c r="J107" s="57">
        <f>J34*H45*31</f>
        <v>23250</v>
      </c>
      <c r="K107" s="57">
        <f>K34*30*H45</f>
        <v>22500</v>
      </c>
      <c r="L107" s="57">
        <f>L34*31*H45</f>
        <v>23250</v>
      </c>
      <c r="M107" s="67">
        <f t="shared" ref="M107:M112" si="34">SUM(D107:L107)</f>
        <v>175000</v>
      </c>
      <c r="N107" s="57">
        <f>N34*31*H45</f>
        <v>23250</v>
      </c>
      <c r="O107" s="57">
        <f>O34*28*H44</f>
        <v>70000</v>
      </c>
      <c r="P107" s="57">
        <f>P34*31*H46</f>
        <v>31000</v>
      </c>
      <c r="Q107" s="57">
        <f>Q34*30*H44</f>
        <v>75000</v>
      </c>
      <c r="R107" s="57">
        <f>R34*31*H46</f>
        <v>31000</v>
      </c>
      <c r="S107" s="24">
        <v>0</v>
      </c>
      <c r="T107" s="24">
        <v>0</v>
      </c>
      <c r="U107" s="24">
        <v>0</v>
      </c>
      <c r="V107" s="24">
        <v>0</v>
      </c>
      <c r="W107" s="57">
        <f>W34*31*H45</f>
        <v>23250</v>
      </c>
      <c r="X107" s="57">
        <f>X34*30*H44</f>
        <v>75000</v>
      </c>
      <c r="Y107" s="57">
        <f>Y34*31*H45</f>
        <v>23250</v>
      </c>
      <c r="Z107" s="41">
        <f t="shared" ref="Z107:Z112" si="35">SUM(N107:Y107)</f>
        <v>351750</v>
      </c>
      <c r="AA107" s="61">
        <f>N107</f>
        <v>23250</v>
      </c>
      <c r="AB107" s="57">
        <f t="shared" ref="AB107:AL107" si="36">O107</f>
        <v>70000</v>
      </c>
      <c r="AC107" s="57">
        <f t="shared" si="36"/>
        <v>31000</v>
      </c>
      <c r="AD107" s="57">
        <f t="shared" si="36"/>
        <v>75000</v>
      </c>
      <c r="AE107" s="57">
        <f t="shared" si="36"/>
        <v>31000</v>
      </c>
      <c r="AF107" s="36">
        <f t="shared" si="36"/>
        <v>0</v>
      </c>
      <c r="AG107" s="36">
        <f t="shared" si="36"/>
        <v>0</v>
      </c>
      <c r="AH107" s="36">
        <f t="shared" si="36"/>
        <v>0</v>
      </c>
      <c r="AI107" s="36">
        <f t="shared" si="36"/>
        <v>0</v>
      </c>
      <c r="AJ107" s="57">
        <f t="shared" si="36"/>
        <v>23250</v>
      </c>
      <c r="AK107" s="57">
        <f t="shared" si="36"/>
        <v>75000</v>
      </c>
      <c r="AL107" s="58">
        <f t="shared" si="36"/>
        <v>23250</v>
      </c>
      <c r="AM107" s="41">
        <f t="shared" ref="AM107:AM112" si="37">SUM(AA107:AL107)</f>
        <v>351750</v>
      </c>
    </row>
    <row r="108" spans="1:39">
      <c r="A108" s="4" t="s">
        <v>62</v>
      </c>
      <c r="B108" s="5"/>
      <c r="C108" s="6"/>
      <c r="D108" s="51">
        <f>H44*D35*30</f>
        <v>750000</v>
      </c>
      <c r="E108" s="51">
        <f>H47*E35*31</f>
        <v>310000</v>
      </c>
      <c r="F108" s="23">
        <v>0</v>
      </c>
      <c r="G108" s="23">
        <v>0</v>
      </c>
      <c r="H108" s="23">
        <v>0</v>
      </c>
      <c r="I108" s="29">
        <v>0</v>
      </c>
      <c r="J108" s="51">
        <f>H45*J35*31</f>
        <v>232500</v>
      </c>
      <c r="K108" s="51">
        <f>H45*K35*30</f>
        <v>225000</v>
      </c>
      <c r="L108" s="51">
        <f>H45*L35*31</f>
        <v>232500</v>
      </c>
      <c r="M108" s="64">
        <f t="shared" si="34"/>
        <v>1750000</v>
      </c>
      <c r="N108" s="51">
        <f>H45*N35*31</f>
        <v>232500</v>
      </c>
      <c r="O108" s="51">
        <f>H45*O35*28</f>
        <v>210000</v>
      </c>
      <c r="P108" s="51">
        <f>H47*P35*31</f>
        <v>310000</v>
      </c>
      <c r="Q108" s="51">
        <f>H51*Q35*30</f>
        <v>525000</v>
      </c>
      <c r="R108" s="51">
        <f>H47*R35*31</f>
        <v>310000</v>
      </c>
      <c r="S108" s="23">
        <v>0</v>
      </c>
      <c r="T108" s="23">
        <v>0</v>
      </c>
      <c r="U108" s="23">
        <v>0</v>
      </c>
      <c r="V108" s="29">
        <v>0</v>
      </c>
      <c r="W108" s="51">
        <f>H45*W35*31</f>
        <v>232500</v>
      </c>
      <c r="X108" s="51">
        <f>H45*X35*30</f>
        <v>225000</v>
      </c>
      <c r="Y108" s="51">
        <f>H45*Y35*31</f>
        <v>232500</v>
      </c>
      <c r="Z108" s="71">
        <f t="shared" si="35"/>
        <v>2277500</v>
      </c>
      <c r="AA108" s="49">
        <f t="shared" ref="AA108:AA112" si="38">N108</f>
        <v>232500</v>
      </c>
      <c r="AB108" s="51">
        <f t="shared" ref="AB108:AB112" si="39">O108</f>
        <v>210000</v>
      </c>
      <c r="AC108" s="51">
        <f t="shared" ref="AC108:AC112" si="40">P108</f>
        <v>310000</v>
      </c>
      <c r="AD108" s="51">
        <f t="shared" ref="AD108:AD112" si="41">Q108</f>
        <v>525000</v>
      </c>
      <c r="AE108" s="51">
        <f t="shared" ref="AE108:AE112" si="42">R108</f>
        <v>310000</v>
      </c>
      <c r="AF108" s="29">
        <f t="shared" ref="AF108:AF112" si="43">S108</f>
        <v>0</v>
      </c>
      <c r="AG108" s="29">
        <f t="shared" ref="AG108:AG112" si="44">T108</f>
        <v>0</v>
      </c>
      <c r="AH108" s="29">
        <f t="shared" ref="AH108:AH112" si="45">U108</f>
        <v>0</v>
      </c>
      <c r="AI108" s="29">
        <f t="shared" ref="AI108:AI112" si="46">V108</f>
        <v>0</v>
      </c>
      <c r="AJ108" s="51">
        <f t="shared" ref="AJ108:AJ112" si="47">W108</f>
        <v>232500</v>
      </c>
      <c r="AK108" s="51">
        <f t="shared" ref="AK108:AK112" si="48">X108</f>
        <v>225000</v>
      </c>
      <c r="AL108" s="53">
        <f t="shared" ref="AL108:AL112" si="49">Y108</f>
        <v>232500</v>
      </c>
      <c r="AM108" s="71">
        <f t="shared" si="37"/>
        <v>2277500</v>
      </c>
    </row>
    <row r="109" spans="1:39">
      <c r="A109" s="4" t="s">
        <v>77</v>
      </c>
      <c r="B109" s="5"/>
      <c r="C109" s="6"/>
      <c r="D109" s="51">
        <v>0</v>
      </c>
      <c r="E109" s="51">
        <v>0</v>
      </c>
      <c r="F109" s="23">
        <v>0</v>
      </c>
      <c r="G109" s="29">
        <v>0</v>
      </c>
      <c r="H109" s="29">
        <v>0</v>
      </c>
      <c r="I109" s="29">
        <v>0</v>
      </c>
      <c r="J109" s="51">
        <f>H55*J36/2*31</f>
        <v>1627500</v>
      </c>
      <c r="K109" s="51">
        <v>0</v>
      </c>
      <c r="L109" s="51">
        <v>0</v>
      </c>
      <c r="M109" s="64">
        <f t="shared" si="34"/>
        <v>1627500</v>
      </c>
      <c r="N109" s="51">
        <v>0</v>
      </c>
      <c r="O109" s="51">
        <v>0</v>
      </c>
      <c r="P109" s="51">
        <v>0</v>
      </c>
      <c r="Q109" s="51">
        <f>H53*Q36/2*30</f>
        <v>157500</v>
      </c>
      <c r="R109" s="51">
        <f>H55*R36*31</f>
        <v>1627500</v>
      </c>
      <c r="S109" s="29">
        <v>0</v>
      </c>
      <c r="T109" s="23">
        <v>0</v>
      </c>
      <c r="U109" s="23">
        <v>0</v>
      </c>
      <c r="V109" s="29">
        <v>0</v>
      </c>
      <c r="W109" s="51">
        <f>H55*W36/2*31</f>
        <v>1627500</v>
      </c>
      <c r="X109" s="51">
        <v>0</v>
      </c>
      <c r="Y109" s="51">
        <v>0</v>
      </c>
      <c r="Z109" s="71">
        <f t="shared" si="35"/>
        <v>3412500</v>
      </c>
      <c r="AA109" s="49">
        <f t="shared" si="38"/>
        <v>0</v>
      </c>
      <c r="AB109" s="51">
        <f t="shared" si="39"/>
        <v>0</v>
      </c>
      <c r="AC109" s="51">
        <f t="shared" si="40"/>
        <v>0</v>
      </c>
      <c r="AD109" s="51">
        <f t="shared" si="41"/>
        <v>157500</v>
      </c>
      <c r="AE109" s="51">
        <f t="shared" si="42"/>
        <v>1627500</v>
      </c>
      <c r="AF109" s="29">
        <f t="shared" si="43"/>
        <v>0</v>
      </c>
      <c r="AG109" s="29">
        <f t="shared" si="44"/>
        <v>0</v>
      </c>
      <c r="AH109" s="29">
        <f t="shared" si="45"/>
        <v>0</v>
      </c>
      <c r="AI109" s="29">
        <f t="shared" si="46"/>
        <v>0</v>
      </c>
      <c r="AJ109" s="51">
        <f t="shared" si="47"/>
        <v>1627500</v>
      </c>
      <c r="AK109" s="51">
        <f t="shared" si="48"/>
        <v>0</v>
      </c>
      <c r="AL109" s="53">
        <f t="shared" si="49"/>
        <v>0</v>
      </c>
      <c r="AM109" s="71">
        <f t="shared" si="37"/>
        <v>3412500</v>
      </c>
    </row>
    <row r="110" spans="1:39">
      <c r="A110" s="4" t="s">
        <v>78</v>
      </c>
      <c r="B110" s="5"/>
      <c r="C110" s="6"/>
      <c r="D110" s="51">
        <v>0</v>
      </c>
      <c r="E110" s="51">
        <v>0</v>
      </c>
      <c r="F110" s="29">
        <v>0</v>
      </c>
      <c r="G110" s="29">
        <v>0</v>
      </c>
      <c r="H110" s="29">
        <v>0</v>
      </c>
      <c r="I110" s="29">
        <v>0</v>
      </c>
      <c r="J110" s="51">
        <v>0</v>
      </c>
      <c r="K110" s="51">
        <f>H56*K36*30</f>
        <v>2100000</v>
      </c>
      <c r="L110" s="51">
        <v>0</v>
      </c>
      <c r="M110" s="64">
        <f t="shared" si="34"/>
        <v>2100000</v>
      </c>
      <c r="N110" s="51">
        <v>0</v>
      </c>
      <c r="O110" s="51">
        <v>0</v>
      </c>
      <c r="P110" s="51">
        <v>0</v>
      </c>
      <c r="Q110" s="51">
        <v>0</v>
      </c>
      <c r="R110" s="51">
        <v>0</v>
      </c>
      <c r="S110" s="29">
        <v>0</v>
      </c>
      <c r="T110" s="29">
        <v>0</v>
      </c>
      <c r="U110" s="29">
        <v>0</v>
      </c>
      <c r="V110" s="29">
        <v>0</v>
      </c>
      <c r="W110" s="51">
        <v>0</v>
      </c>
      <c r="X110" s="51">
        <f>X36*H56*30</f>
        <v>2100000</v>
      </c>
      <c r="Y110" s="51">
        <v>0</v>
      </c>
      <c r="Z110" s="71">
        <f t="shared" si="35"/>
        <v>2100000</v>
      </c>
      <c r="AA110" s="49">
        <f t="shared" si="38"/>
        <v>0</v>
      </c>
      <c r="AB110" s="51">
        <f t="shared" si="39"/>
        <v>0</v>
      </c>
      <c r="AC110" s="51">
        <f t="shared" si="40"/>
        <v>0</v>
      </c>
      <c r="AD110" s="51">
        <f t="shared" si="41"/>
        <v>0</v>
      </c>
      <c r="AE110" s="51">
        <f t="shared" si="42"/>
        <v>0</v>
      </c>
      <c r="AF110" s="29">
        <f t="shared" si="43"/>
        <v>0</v>
      </c>
      <c r="AG110" s="29">
        <f t="shared" si="44"/>
        <v>0</v>
      </c>
      <c r="AH110" s="29">
        <f t="shared" si="45"/>
        <v>0</v>
      </c>
      <c r="AI110" s="29">
        <f t="shared" si="46"/>
        <v>0</v>
      </c>
      <c r="AJ110" s="51">
        <f t="shared" si="47"/>
        <v>0</v>
      </c>
      <c r="AK110" s="51">
        <f t="shared" si="48"/>
        <v>2100000</v>
      </c>
      <c r="AL110" s="53">
        <f t="shared" si="49"/>
        <v>0</v>
      </c>
      <c r="AM110" s="71">
        <f t="shared" si="37"/>
        <v>2100000</v>
      </c>
    </row>
    <row r="111" spans="1:39">
      <c r="A111" s="4" t="s">
        <v>79</v>
      </c>
      <c r="B111" s="5"/>
      <c r="C111" s="6"/>
      <c r="D111" s="51">
        <v>0</v>
      </c>
      <c r="E111" s="51">
        <v>0</v>
      </c>
      <c r="F111" s="29">
        <v>0</v>
      </c>
      <c r="G111" s="29">
        <v>0</v>
      </c>
      <c r="H111" s="29">
        <v>0</v>
      </c>
      <c r="I111" s="29">
        <v>0</v>
      </c>
      <c r="J111" s="51">
        <v>0</v>
      </c>
      <c r="K111" s="51">
        <v>0</v>
      </c>
      <c r="L111" s="51">
        <f>H57*K36*31</f>
        <v>2712500</v>
      </c>
      <c r="M111" s="64">
        <f t="shared" si="34"/>
        <v>2712500</v>
      </c>
      <c r="N111" s="51">
        <v>0</v>
      </c>
      <c r="O111" s="51">
        <v>0</v>
      </c>
      <c r="P111" s="51">
        <v>0</v>
      </c>
      <c r="Q111" s="51">
        <v>0</v>
      </c>
      <c r="R111" s="51">
        <v>0</v>
      </c>
      <c r="S111" s="29">
        <v>0</v>
      </c>
      <c r="T111" s="29">
        <v>0</v>
      </c>
      <c r="U111" s="29">
        <v>0</v>
      </c>
      <c r="V111" s="29">
        <v>0</v>
      </c>
      <c r="W111" s="51">
        <v>0</v>
      </c>
      <c r="X111" s="51">
        <v>0</v>
      </c>
      <c r="Y111" s="51">
        <f>Y36*H57*31</f>
        <v>2712500</v>
      </c>
      <c r="Z111" s="71">
        <f t="shared" si="35"/>
        <v>2712500</v>
      </c>
      <c r="AA111" s="49">
        <f t="shared" si="38"/>
        <v>0</v>
      </c>
      <c r="AB111" s="51">
        <f t="shared" si="39"/>
        <v>0</v>
      </c>
      <c r="AC111" s="51">
        <f t="shared" si="40"/>
        <v>0</v>
      </c>
      <c r="AD111" s="51">
        <f t="shared" si="41"/>
        <v>0</v>
      </c>
      <c r="AE111" s="51">
        <f t="shared" si="42"/>
        <v>0</v>
      </c>
      <c r="AF111" s="29">
        <f t="shared" si="43"/>
        <v>0</v>
      </c>
      <c r="AG111" s="29">
        <f t="shared" si="44"/>
        <v>0</v>
      </c>
      <c r="AH111" s="29">
        <f t="shared" si="45"/>
        <v>0</v>
      </c>
      <c r="AI111" s="29">
        <f t="shared" si="46"/>
        <v>0</v>
      </c>
      <c r="AJ111" s="51">
        <f t="shared" si="47"/>
        <v>0</v>
      </c>
      <c r="AK111" s="51">
        <f t="shared" si="48"/>
        <v>0</v>
      </c>
      <c r="AL111" s="53">
        <f t="shared" si="49"/>
        <v>2712500</v>
      </c>
      <c r="AM111" s="71">
        <f t="shared" si="37"/>
        <v>2712500</v>
      </c>
    </row>
    <row r="112" spans="1:39" ht="15.75" thickBot="1">
      <c r="A112" s="4" t="s">
        <v>80</v>
      </c>
      <c r="B112" s="5"/>
      <c r="C112" s="6"/>
      <c r="D112" s="51">
        <v>0</v>
      </c>
      <c r="E112" s="51">
        <v>0</v>
      </c>
      <c r="F112" s="29">
        <v>0</v>
      </c>
      <c r="G112" s="29">
        <v>0</v>
      </c>
      <c r="H112" s="29">
        <v>0</v>
      </c>
      <c r="I112" s="29">
        <v>0</v>
      </c>
      <c r="J112" s="51">
        <f>H58*J36/2*31</f>
        <v>3255000</v>
      </c>
      <c r="K112" s="51">
        <v>0</v>
      </c>
      <c r="L112" s="51">
        <v>0</v>
      </c>
      <c r="M112" s="64">
        <f t="shared" si="34"/>
        <v>3255000</v>
      </c>
      <c r="N112" s="51">
        <f>H58*N36*31</f>
        <v>1627500</v>
      </c>
      <c r="O112" s="51">
        <f>H58*28*O36</f>
        <v>1470000</v>
      </c>
      <c r="P112" s="51">
        <v>0</v>
      </c>
      <c r="Q112" s="51">
        <v>0</v>
      </c>
      <c r="R112" s="51">
        <v>0</v>
      </c>
      <c r="S112" s="29">
        <v>0</v>
      </c>
      <c r="T112" s="29">
        <v>0</v>
      </c>
      <c r="U112" s="29">
        <v>0</v>
      </c>
      <c r="V112" s="29">
        <v>0</v>
      </c>
      <c r="W112" s="51">
        <f>H58*W36/2*31</f>
        <v>3255000</v>
      </c>
      <c r="X112" s="51">
        <v>0</v>
      </c>
      <c r="Y112" s="51">
        <v>0</v>
      </c>
      <c r="Z112" s="71">
        <f t="shared" si="35"/>
        <v>6352500</v>
      </c>
      <c r="AA112" s="66">
        <f t="shared" si="38"/>
        <v>1627500</v>
      </c>
      <c r="AB112" s="59">
        <f t="shared" si="39"/>
        <v>1470000</v>
      </c>
      <c r="AC112" s="59">
        <f t="shared" si="40"/>
        <v>0</v>
      </c>
      <c r="AD112" s="59">
        <f t="shared" si="41"/>
        <v>0</v>
      </c>
      <c r="AE112" s="59">
        <f t="shared" si="42"/>
        <v>0</v>
      </c>
      <c r="AF112" s="85">
        <f t="shared" si="43"/>
        <v>0</v>
      </c>
      <c r="AG112" s="85">
        <f t="shared" si="44"/>
        <v>0</v>
      </c>
      <c r="AH112" s="85">
        <f t="shared" si="45"/>
        <v>0</v>
      </c>
      <c r="AI112" s="85">
        <f t="shared" si="46"/>
        <v>0</v>
      </c>
      <c r="AJ112" s="59">
        <f t="shared" si="47"/>
        <v>3255000</v>
      </c>
      <c r="AK112" s="59">
        <f t="shared" si="48"/>
        <v>0</v>
      </c>
      <c r="AL112" s="60">
        <f t="shared" si="49"/>
        <v>0</v>
      </c>
      <c r="AM112" s="71">
        <f t="shared" si="37"/>
        <v>6352500</v>
      </c>
    </row>
    <row r="113" spans="1:39" ht="15.75" thickBot="1">
      <c r="A113" s="13" t="s">
        <v>83</v>
      </c>
      <c r="B113" s="14"/>
      <c r="C113" s="15"/>
      <c r="D113" s="54">
        <f t="shared" ref="D113:Z113" si="50">SUM(D107:D112)</f>
        <v>825000</v>
      </c>
      <c r="E113" s="54">
        <f t="shared" si="50"/>
        <v>341000</v>
      </c>
      <c r="F113" s="25">
        <f t="shared" si="50"/>
        <v>0</v>
      </c>
      <c r="G113" s="25">
        <f t="shared" si="50"/>
        <v>0</v>
      </c>
      <c r="H113" s="25">
        <f t="shared" si="50"/>
        <v>0</v>
      </c>
      <c r="I113" s="25">
        <f t="shared" si="50"/>
        <v>0</v>
      </c>
      <c r="J113" s="54">
        <f t="shared" si="50"/>
        <v>5138250</v>
      </c>
      <c r="K113" s="54">
        <f t="shared" si="50"/>
        <v>2347500</v>
      </c>
      <c r="L113" s="54">
        <f t="shared" si="50"/>
        <v>2968250</v>
      </c>
      <c r="M113" s="69">
        <f t="shared" si="50"/>
        <v>11620000</v>
      </c>
      <c r="N113" s="54">
        <f t="shared" si="50"/>
        <v>1883250</v>
      </c>
      <c r="O113" s="54">
        <f t="shared" si="50"/>
        <v>1750000</v>
      </c>
      <c r="P113" s="54">
        <f t="shared" si="50"/>
        <v>341000</v>
      </c>
      <c r="Q113" s="54">
        <f t="shared" si="50"/>
        <v>757500</v>
      </c>
      <c r="R113" s="54">
        <f t="shared" si="50"/>
        <v>1968500</v>
      </c>
      <c r="S113" s="25">
        <f t="shared" si="50"/>
        <v>0</v>
      </c>
      <c r="T113" s="25">
        <f t="shared" si="50"/>
        <v>0</v>
      </c>
      <c r="U113" s="25">
        <f t="shared" si="50"/>
        <v>0</v>
      </c>
      <c r="V113" s="25">
        <f t="shared" si="50"/>
        <v>0</v>
      </c>
      <c r="W113" s="54">
        <f t="shared" si="50"/>
        <v>5138250</v>
      </c>
      <c r="X113" s="54">
        <f t="shared" si="50"/>
        <v>2400000</v>
      </c>
      <c r="Y113" s="54">
        <f t="shared" si="50"/>
        <v>2968250</v>
      </c>
      <c r="Z113" s="72">
        <f t="shared" si="50"/>
        <v>17206750</v>
      </c>
      <c r="AA113" s="54">
        <f t="shared" ref="AA113:AM113" si="51">SUM(AA107:AA112)</f>
        <v>1883250</v>
      </c>
      <c r="AB113" s="54">
        <f t="shared" si="51"/>
        <v>1750000</v>
      </c>
      <c r="AC113" s="54">
        <f t="shared" si="51"/>
        <v>341000</v>
      </c>
      <c r="AD113" s="54">
        <f t="shared" si="51"/>
        <v>757500</v>
      </c>
      <c r="AE113" s="54">
        <f t="shared" si="51"/>
        <v>1968500</v>
      </c>
      <c r="AF113" s="25">
        <f t="shared" si="51"/>
        <v>0</v>
      </c>
      <c r="AG113" s="25">
        <f t="shared" si="51"/>
        <v>0</v>
      </c>
      <c r="AH113" s="25">
        <f t="shared" si="51"/>
        <v>0</v>
      </c>
      <c r="AI113" s="25">
        <f t="shared" si="51"/>
        <v>0</v>
      </c>
      <c r="AJ113" s="54">
        <f t="shared" si="51"/>
        <v>5138250</v>
      </c>
      <c r="AK113" s="54">
        <f t="shared" si="51"/>
        <v>2400000</v>
      </c>
      <c r="AL113" s="54">
        <f t="shared" si="51"/>
        <v>2968250</v>
      </c>
      <c r="AM113" s="72">
        <f t="shared" si="51"/>
        <v>17206750</v>
      </c>
    </row>
    <row r="114" spans="1:39">
      <c r="M114" s="64">
        <f>M113/1000</f>
        <v>11620</v>
      </c>
      <c r="Z114" s="75">
        <f>Z113/1000</f>
        <v>17206.75</v>
      </c>
      <c r="AM114" s="75">
        <f>AM113/1000</f>
        <v>17206.75</v>
      </c>
    </row>
    <row r="115" spans="1:39" ht="15.75" thickBot="1">
      <c r="A115" t="s">
        <v>86</v>
      </c>
    </row>
    <row r="116" spans="1:39" ht="15.75" thickBot="1">
      <c r="A116" s="1"/>
      <c r="B116" s="2"/>
      <c r="C116" s="3"/>
      <c r="D116" s="2"/>
      <c r="E116" s="2"/>
      <c r="F116" s="2"/>
      <c r="G116" s="24" t="str">
        <f>G94</f>
        <v>1 год</v>
      </c>
      <c r="H116" s="2"/>
      <c r="I116" s="2"/>
      <c r="J116" s="2"/>
      <c r="K116" s="2"/>
      <c r="L116" s="2"/>
      <c r="M116" s="41" t="s">
        <v>72</v>
      </c>
      <c r="N116" s="2"/>
      <c r="O116" s="2"/>
      <c r="P116" s="2"/>
      <c r="Q116" s="2"/>
      <c r="R116" s="2"/>
      <c r="S116" s="24" t="str">
        <f>S105</f>
        <v>2 год</v>
      </c>
      <c r="T116" s="2"/>
      <c r="U116" s="2"/>
      <c r="V116" s="2"/>
      <c r="W116" s="2"/>
      <c r="X116" s="2"/>
      <c r="Y116" s="2"/>
      <c r="Z116" s="41" t="s">
        <v>72</v>
      </c>
      <c r="AA116" s="2"/>
      <c r="AB116" s="2"/>
      <c r="AC116" s="2"/>
      <c r="AD116" s="2"/>
      <c r="AE116" s="2"/>
      <c r="AF116" s="24" t="str">
        <f>AF105</f>
        <v>3 год</v>
      </c>
      <c r="AG116" s="2"/>
      <c r="AH116" s="2"/>
      <c r="AI116" s="2"/>
      <c r="AJ116" s="2"/>
      <c r="AK116" s="2"/>
      <c r="AL116" s="2"/>
      <c r="AM116" s="41" t="s">
        <v>72</v>
      </c>
    </row>
    <row r="117" spans="1:39" ht="15.75" thickBot="1">
      <c r="A117" s="7"/>
      <c r="B117" s="8"/>
      <c r="C117" s="9"/>
      <c r="D117" s="33" t="s">
        <v>14</v>
      </c>
      <c r="E117" s="33" t="s">
        <v>1</v>
      </c>
      <c r="F117" s="33" t="s">
        <v>4</v>
      </c>
      <c r="G117" s="33" t="s">
        <v>5</v>
      </c>
      <c r="H117" s="33" t="s">
        <v>7</v>
      </c>
      <c r="I117" s="33" t="s">
        <v>9</v>
      </c>
      <c r="J117" s="33" t="s">
        <v>26</v>
      </c>
      <c r="K117" s="33" t="s">
        <v>22</v>
      </c>
      <c r="L117" s="33" t="s">
        <v>36</v>
      </c>
      <c r="M117" s="33" t="str">
        <f>M95</f>
        <v>1 год</v>
      </c>
      <c r="N117" s="33" t="s">
        <v>23</v>
      </c>
      <c r="O117" s="33" t="s">
        <v>24</v>
      </c>
      <c r="P117" s="33" t="s">
        <v>13</v>
      </c>
      <c r="Q117" s="33" t="s">
        <v>14</v>
      </c>
      <c r="R117" s="33" t="s">
        <v>1</v>
      </c>
      <c r="S117" s="33" t="s">
        <v>4</v>
      </c>
      <c r="T117" s="33" t="s">
        <v>5</v>
      </c>
      <c r="U117" s="33" t="s">
        <v>7</v>
      </c>
      <c r="V117" s="33" t="s">
        <v>9</v>
      </c>
      <c r="W117" s="33" t="s">
        <v>26</v>
      </c>
      <c r="X117" s="33" t="s">
        <v>22</v>
      </c>
      <c r="Y117" s="33" t="s">
        <v>36</v>
      </c>
      <c r="Z117" s="62" t="str">
        <f>Z106</f>
        <v>2 год</v>
      </c>
      <c r="AA117" s="33" t="s">
        <v>23</v>
      </c>
      <c r="AB117" s="33" t="s">
        <v>24</v>
      </c>
      <c r="AC117" s="33" t="s">
        <v>13</v>
      </c>
      <c r="AD117" s="33" t="s">
        <v>14</v>
      </c>
      <c r="AE117" s="33" t="s">
        <v>1</v>
      </c>
      <c r="AF117" s="33" t="s">
        <v>4</v>
      </c>
      <c r="AG117" s="33" t="s">
        <v>5</v>
      </c>
      <c r="AH117" s="33" t="s">
        <v>7</v>
      </c>
      <c r="AI117" s="33" t="s">
        <v>9</v>
      </c>
      <c r="AJ117" s="33" t="s">
        <v>26</v>
      </c>
      <c r="AK117" s="33" t="s">
        <v>22</v>
      </c>
      <c r="AL117" s="33" t="s">
        <v>36</v>
      </c>
      <c r="AM117" s="24" t="str">
        <f>AM106</f>
        <v>3 год</v>
      </c>
    </row>
    <row r="118" spans="1:39">
      <c r="A118" s="4" t="s">
        <v>29</v>
      </c>
      <c r="B118" s="5"/>
      <c r="C118" s="6"/>
      <c r="D118" s="30">
        <f>D34*O40*30</f>
        <v>37500</v>
      </c>
      <c r="E118" s="30">
        <f>E34*O40*31</f>
        <v>38750</v>
      </c>
      <c r="F118" s="30">
        <f>F34*O40*30</f>
        <v>37500</v>
      </c>
      <c r="G118" s="30">
        <f>G34*O40*31</f>
        <v>38750</v>
      </c>
      <c r="H118" s="30">
        <f>H34*O40*31</f>
        <v>38750</v>
      </c>
      <c r="I118" s="30">
        <f>I34*O40*30</f>
        <v>37500</v>
      </c>
      <c r="J118" s="30">
        <f>J34*O40*31</f>
        <v>38750</v>
      </c>
      <c r="K118" s="30">
        <f>K34*O40*30</f>
        <v>37500</v>
      </c>
      <c r="L118" s="30">
        <f>L34*O40*31</f>
        <v>38750</v>
      </c>
      <c r="M118" s="71">
        <f t="shared" ref="M118:M123" si="52">SUM(D118:L118)</f>
        <v>343750</v>
      </c>
      <c r="N118" s="30">
        <f>N34*O40*31</f>
        <v>38750</v>
      </c>
      <c r="O118" s="30">
        <f>O34*O40*28</f>
        <v>35000</v>
      </c>
      <c r="P118" s="30">
        <f>P34*O40*31</f>
        <v>38750</v>
      </c>
      <c r="Q118" s="30">
        <f>Q34*O40*30</f>
        <v>37500</v>
      </c>
      <c r="R118" s="30">
        <f>R34*O40*31</f>
        <v>38750</v>
      </c>
      <c r="S118" s="30">
        <f>S34*O40*30</f>
        <v>37500</v>
      </c>
      <c r="T118" s="30">
        <f>T34*O40*31</f>
        <v>38750</v>
      </c>
      <c r="U118" s="30">
        <f>U34*O40*31</f>
        <v>38750</v>
      </c>
      <c r="V118" s="30">
        <f>V34*O40*30</f>
        <v>37500</v>
      </c>
      <c r="W118" s="30">
        <f>W34*31*O40</f>
        <v>38750</v>
      </c>
      <c r="X118" s="30">
        <f>X34*O40*30</f>
        <v>37500</v>
      </c>
      <c r="Y118" s="30">
        <f>Y34*O40*31</f>
        <v>38750</v>
      </c>
      <c r="Z118" s="71">
        <f t="shared" ref="Z118:Z123" si="53">SUM(N118:Y118)</f>
        <v>456250</v>
      </c>
      <c r="AA118" s="30">
        <f>N118</f>
        <v>38750</v>
      </c>
      <c r="AB118" s="30">
        <f t="shared" ref="AB118:AL118" si="54">O118</f>
        <v>35000</v>
      </c>
      <c r="AC118" s="30">
        <f t="shared" si="54"/>
        <v>38750</v>
      </c>
      <c r="AD118" s="30">
        <f t="shared" si="54"/>
        <v>37500</v>
      </c>
      <c r="AE118" s="30">
        <f t="shared" si="54"/>
        <v>38750</v>
      </c>
      <c r="AF118" s="30">
        <f t="shared" si="54"/>
        <v>37500</v>
      </c>
      <c r="AG118" s="30">
        <f t="shared" si="54"/>
        <v>38750</v>
      </c>
      <c r="AH118" s="30">
        <f t="shared" si="54"/>
        <v>38750</v>
      </c>
      <c r="AI118" s="30">
        <f t="shared" si="54"/>
        <v>37500</v>
      </c>
      <c r="AJ118" s="30">
        <f t="shared" si="54"/>
        <v>38750</v>
      </c>
      <c r="AK118" s="30">
        <f t="shared" si="54"/>
        <v>37500</v>
      </c>
      <c r="AL118" s="30">
        <f t="shared" si="54"/>
        <v>38750</v>
      </c>
      <c r="AM118" s="71">
        <f t="shared" ref="AM118:AM123" si="55">SUM(AA118:AL118)</f>
        <v>456250</v>
      </c>
    </row>
    <row r="119" spans="1:39">
      <c r="A119" s="4" t="s">
        <v>62</v>
      </c>
      <c r="B119" s="5"/>
      <c r="C119" s="6"/>
      <c r="D119" s="30">
        <f>D35*O40*30</f>
        <v>375000</v>
      </c>
      <c r="E119" s="30">
        <f>E35*O40*31</f>
        <v>387500</v>
      </c>
      <c r="F119" s="30">
        <f>F35*O40*30</f>
        <v>375000</v>
      </c>
      <c r="G119" s="30">
        <f>G35*O40*31</f>
        <v>387500</v>
      </c>
      <c r="H119" s="30">
        <f>H35*O40*31</f>
        <v>387500</v>
      </c>
      <c r="I119" s="30">
        <f>I35*O40*30</f>
        <v>375000</v>
      </c>
      <c r="J119" s="30">
        <f>J35*O40*31</f>
        <v>387500</v>
      </c>
      <c r="K119" s="30">
        <f>K35*O40*30</f>
        <v>375000</v>
      </c>
      <c r="L119" s="30">
        <f>L35*O40*31</f>
        <v>387500</v>
      </c>
      <c r="M119" s="71">
        <f t="shared" si="52"/>
        <v>3437500</v>
      </c>
      <c r="N119" s="30">
        <f>N35*O40*31</f>
        <v>387500</v>
      </c>
      <c r="O119" s="30">
        <f>O35*O40*28</f>
        <v>350000</v>
      </c>
      <c r="P119" s="30">
        <f>P35*O40*31</f>
        <v>387500</v>
      </c>
      <c r="Q119" s="30">
        <f>Q35*O40*30</f>
        <v>375000</v>
      </c>
      <c r="R119" s="30">
        <f>R35*O40*31</f>
        <v>387500</v>
      </c>
      <c r="S119" s="30">
        <f>S35*O40*30</f>
        <v>375000</v>
      </c>
      <c r="T119" s="30">
        <f>T35*O40*31</f>
        <v>387500</v>
      </c>
      <c r="U119" s="30">
        <f>U35*O40*31</f>
        <v>387500</v>
      </c>
      <c r="V119" s="30">
        <f>V35*O40*30</f>
        <v>375000</v>
      </c>
      <c r="W119" s="30">
        <f>W35*O40*31</f>
        <v>387500</v>
      </c>
      <c r="X119" s="30">
        <f>X35*O40*30</f>
        <v>375000</v>
      </c>
      <c r="Y119" s="30">
        <f>Y35*O40*31</f>
        <v>387500</v>
      </c>
      <c r="Z119" s="71">
        <f t="shared" si="53"/>
        <v>4562500</v>
      </c>
      <c r="AA119" s="30">
        <f t="shared" ref="AA119:AA123" si="56">N119</f>
        <v>387500</v>
      </c>
      <c r="AB119" s="30">
        <f t="shared" ref="AB119:AB123" si="57">O119</f>
        <v>350000</v>
      </c>
      <c r="AC119" s="30">
        <f t="shared" ref="AC119:AC123" si="58">P119</f>
        <v>387500</v>
      </c>
      <c r="AD119" s="30">
        <f t="shared" ref="AD119:AD123" si="59">Q119</f>
        <v>375000</v>
      </c>
      <c r="AE119" s="30">
        <f t="shared" ref="AE119:AE123" si="60">R119</f>
        <v>387500</v>
      </c>
      <c r="AF119" s="30">
        <f t="shared" ref="AF119:AF123" si="61">S119</f>
        <v>375000</v>
      </c>
      <c r="AG119" s="30">
        <f t="shared" ref="AG119:AG123" si="62">T119</f>
        <v>387500</v>
      </c>
      <c r="AH119" s="30">
        <f t="shared" ref="AH119:AH123" si="63">U119</f>
        <v>387500</v>
      </c>
      <c r="AI119" s="30">
        <f t="shared" ref="AI119:AI123" si="64">V119</f>
        <v>375000</v>
      </c>
      <c r="AJ119" s="30">
        <f t="shared" ref="AJ119:AJ123" si="65">W119</f>
        <v>387500</v>
      </c>
      <c r="AK119" s="30">
        <f t="shared" ref="AK119:AK123" si="66">X119</f>
        <v>375000</v>
      </c>
      <c r="AL119" s="30">
        <f t="shared" ref="AL119:AL123" si="67">Y119</f>
        <v>387500</v>
      </c>
      <c r="AM119" s="71">
        <f t="shared" si="55"/>
        <v>4562500</v>
      </c>
    </row>
    <row r="120" spans="1:39">
      <c r="A120" s="4" t="s">
        <v>77</v>
      </c>
      <c r="B120" s="5"/>
      <c r="C120" s="6"/>
      <c r="D120" s="30">
        <v>0</v>
      </c>
      <c r="E120" s="30">
        <v>0</v>
      </c>
      <c r="F120" s="30">
        <f>F36*O40*30</f>
        <v>2625000</v>
      </c>
      <c r="G120" s="30">
        <f>G36*31*O40</f>
        <v>2712500</v>
      </c>
      <c r="H120" s="30">
        <v>0</v>
      </c>
      <c r="I120" s="30">
        <f>I36/2*O40*30</f>
        <v>2625000</v>
      </c>
      <c r="J120" s="30">
        <f>J36/2*O40*31</f>
        <v>2712500</v>
      </c>
      <c r="K120" s="30">
        <v>0</v>
      </c>
      <c r="L120" s="30">
        <v>0</v>
      </c>
      <c r="M120" s="71">
        <f t="shared" si="52"/>
        <v>10675000</v>
      </c>
      <c r="N120" s="30">
        <v>0</v>
      </c>
      <c r="O120" s="30">
        <v>0</v>
      </c>
      <c r="P120" s="30">
        <v>0</v>
      </c>
      <c r="Q120" s="30">
        <f>Q36*O40*30</f>
        <v>2625000</v>
      </c>
      <c r="R120" s="30">
        <f>R36*O40*31</f>
        <v>2712500</v>
      </c>
      <c r="S120" s="30">
        <f>S36/2*O40*30</f>
        <v>2625000</v>
      </c>
      <c r="T120" s="30">
        <f>T36/2*O40*31</f>
        <v>2712500</v>
      </c>
      <c r="U120" s="30">
        <v>0</v>
      </c>
      <c r="V120" s="30">
        <f>V36/2*O40*30</f>
        <v>2625000</v>
      </c>
      <c r="W120" s="30">
        <f>W36/2*O40*31</f>
        <v>2712500</v>
      </c>
      <c r="X120" s="30">
        <v>0</v>
      </c>
      <c r="Y120" s="30">
        <v>0</v>
      </c>
      <c r="Z120" s="71">
        <f t="shared" si="53"/>
        <v>16012500</v>
      </c>
      <c r="AA120" s="30">
        <f t="shared" si="56"/>
        <v>0</v>
      </c>
      <c r="AB120" s="30">
        <f t="shared" si="57"/>
        <v>0</v>
      </c>
      <c r="AC120" s="30">
        <f t="shared" si="58"/>
        <v>0</v>
      </c>
      <c r="AD120" s="30">
        <f t="shared" si="59"/>
        <v>2625000</v>
      </c>
      <c r="AE120" s="30">
        <f t="shared" si="60"/>
        <v>2712500</v>
      </c>
      <c r="AF120" s="30">
        <f t="shared" si="61"/>
        <v>2625000</v>
      </c>
      <c r="AG120" s="30">
        <f t="shared" si="62"/>
        <v>2712500</v>
      </c>
      <c r="AH120" s="30">
        <f t="shared" si="63"/>
        <v>0</v>
      </c>
      <c r="AI120" s="30">
        <f t="shared" si="64"/>
        <v>2625000</v>
      </c>
      <c r="AJ120" s="30">
        <f t="shared" si="65"/>
        <v>2712500</v>
      </c>
      <c r="AK120" s="30">
        <f t="shared" si="66"/>
        <v>0</v>
      </c>
      <c r="AL120" s="30">
        <f t="shared" si="67"/>
        <v>0</v>
      </c>
      <c r="AM120" s="71">
        <f t="shared" si="55"/>
        <v>16012500</v>
      </c>
    </row>
    <row r="121" spans="1:39">
      <c r="A121" s="4" t="s">
        <v>78</v>
      </c>
      <c r="B121" s="5"/>
      <c r="C121" s="6"/>
      <c r="D121" s="30">
        <v>0</v>
      </c>
      <c r="E121" s="30">
        <v>0</v>
      </c>
      <c r="F121" s="30">
        <v>0</v>
      </c>
      <c r="G121" s="30">
        <v>0</v>
      </c>
      <c r="H121" s="30">
        <f>H36*O40*31</f>
        <v>2712500</v>
      </c>
      <c r="I121" s="30">
        <v>0</v>
      </c>
      <c r="J121" s="30">
        <v>0</v>
      </c>
      <c r="K121" s="30">
        <f>K36*O40*30</f>
        <v>2625000</v>
      </c>
      <c r="L121" s="30">
        <v>0</v>
      </c>
      <c r="M121" s="71">
        <f t="shared" si="52"/>
        <v>5337500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30">
        <f>S36/2*O40*30</f>
        <v>2625000</v>
      </c>
      <c r="T121" s="30">
        <v>0</v>
      </c>
      <c r="U121" s="30">
        <f>U36*O40*31</f>
        <v>2712500</v>
      </c>
      <c r="V121" s="30">
        <v>0</v>
      </c>
      <c r="W121" s="30">
        <v>0</v>
      </c>
      <c r="X121" s="30">
        <f>X36*30</f>
        <v>10500</v>
      </c>
      <c r="Y121" s="30">
        <v>0</v>
      </c>
      <c r="Z121" s="71">
        <f t="shared" si="53"/>
        <v>5348000</v>
      </c>
      <c r="AA121" s="30">
        <f t="shared" si="56"/>
        <v>0</v>
      </c>
      <c r="AB121" s="30">
        <f t="shared" si="57"/>
        <v>0</v>
      </c>
      <c r="AC121" s="30">
        <f t="shared" si="58"/>
        <v>0</v>
      </c>
      <c r="AD121" s="30">
        <f t="shared" si="59"/>
        <v>0</v>
      </c>
      <c r="AE121" s="30">
        <f t="shared" si="60"/>
        <v>0</v>
      </c>
      <c r="AF121" s="30">
        <f t="shared" si="61"/>
        <v>2625000</v>
      </c>
      <c r="AG121" s="30">
        <f t="shared" si="62"/>
        <v>0</v>
      </c>
      <c r="AH121" s="30">
        <f t="shared" si="63"/>
        <v>2712500</v>
      </c>
      <c r="AI121" s="30">
        <f t="shared" si="64"/>
        <v>0</v>
      </c>
      <c r="AJ121" s="30">
        <f t="shared" si="65"/>
        <v>0</v>
      </c>
      <c r="AK121" s="30">
        <f t="shared" si="66"/>
        <v>10500</v>
      </c>
      <c r="AL121" s="30">
        <f t="shared" si="67"/>
        <v>0</v>
      </c>
      <c r="AM121" s="71">
        <f t="shared" si="55"/>
        <v>5348000</v>
      </c>
    </row>
    <row r="122" spans="1:39">
      <c r="A122" s="4" t="s">
        <v>79</v>
      </c>
      <c r="B122" s="5"/>
      <c r="C122" s="6"/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f>I36/2*O40*30</f>
        <v>2625000</v>
      </c>
      <c r="J122" s="30">
        <v>0</v>
      </c>
      <c r="K122" s="30">
        <v>0</v>
      </c>
      <c r="L122" s="30">
        <f>L36*O40*31</f>
        <v>2712500</v>
      </c>
      <c r="M122" s="71">
        <f t="shared" si="52"/>
        <v>5337500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f>T36/2*O40*31</f>
        <v>2712500</v>
      </c>
      <c r="U122" s="30">
        <v>0</v>
      </c>
      <c r="V122" s="30">
        <f>V36/2*O40*30</f>
        <v>2625000</v>
      </c>
      <c r="W122" s="30">
        <v>0</v>
      </c>
      <c r="X122" s="30">
        <v>0</v>
      </c>
      <c r="Y122" s="30">
        <f>Y36*O40*31</f>
        <v>2712500</v>
      </c>
      <c r="Z122" s="71">
        <f t="shared" si="53"/>
        <v>8050000</v>
      </c>
      <c r="AA122" s="30">
        <f t="shared" si="56"/>
        <v>0</v>
      </c>
      <c r="AB122" s="30">
        <f t="shared" si="57"/>
        <v>0</v>
      </c>
      <c r="AC122" s="30">
        <f t="shared" si="58"/>
        <v>0</v>
      </c>
      <c r="AD122" s="30">
        <f t="shared" si="59"/>
        <v>0</v>
      </c>
      <c r="AE122" s="30">
        <f t="shared" si="60"/>
        <v>0</v>
      </c>
      <c r="AF122" s="30">
        <f t="shared" si="61"/>
        <v>0</v>
      </c>
      <c r="AG122" s="30">
        <f t="shared" si="62"/>
        <v>2712500</v>
      </c>
      <c r="AH122" s="30">
        <f t="shared" si="63"/>
        <v>0</v>
      </c>
      <c r="AI122" s="30">
        <f t="shared" si="64"/>
        <v>2625000</v>
      </c>
      <c r="AJ122" s="30">
        <f t="shared" si="65"/>
        <v>0</v>
      </c>
      <c r="AK122" s="30">
        <f t="shared" si="66"/>
        <v>0</v>
      </c>
      <c r="AL122" s="30">
        <f t="shared" si="67"/>
        <v>2712500</v>
      </c>
      <c r="AM122" s="71">
        <f t="shared" si="55"/>
        <v>8050000</v>
      </c>
    </row>
    <row r="123" spans="1:39" ht="15.75" thickBot="1">
      <c r="A123" s="4" t="s">
        <v>80</v>
      </c>
      <c r="B123" s="5"/>
      <c r="C123" s="6"/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f>J36/2*O40*31</f>
        <v>2712500</v>
      </c>
      <c r="K123" s="30">
        <v>0</v>
      </c>
      <c r="L123" s="30">
        <v>0</v>
      </c>
      <c r="M123" s="71">
        <f t="shared" si="52"/>
        <v>2712500</v>
      </c>
      <c r="N123" s="30">
        <f>N36*O40*31</f>
        <v>1356250</v>
      </c>
      <c r="O123" s="30">
        <f>O36*O40*28</f>
        <v>1225000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f>U36/2*O40*31</f>
        <v>1356250</v>
      </c>
      <c r="V123" s="30">
        <v>0</v>
      </c>
      <c r="W123" s="30">
        <f>W36/2*O40*31</f>
        <v>2712500</v>
      </c>
      <c r="X123" s="30">
        <v>0</v>
      </c>
      <c r="Y123" s="30">
        <v>0</v>
      </c>
      <c r="Z123" s="71">
        <f t="shared" si="53"/>
        <v>6650000</v>
      </c>
      <c r="AA123" s="30">
        <f t="shared" si="56"/>
        <v>1356250</v>
      </c>
      <c r="AB123" s="30">
        <f t="shared" si="57"/>
        <v>1225000</v>
      </c>
      <c r="AC123" s="30">
        <f t="shared" si="58"/>
        <v>0</v>
      </c>
      <c r="AD123" s="30">
        <f t="shared" si="59"/>
        <v>0</v>
      </c>
      <c r="AE123" s="30">
        <f t="shared" si="60"/>
        <v>0</v>
      </c>
      <c r="AF123" s="30">
        <f t="shared" si="61"/>
        <v>0</v>
      </c>
      <c r="AG123" s="30">
        <f t="shared" si="62"/>
        <v>0</v>
      </c>
      <c r="AH123" s="30">
        <f t="shared" si="63"/>
        <v>1356250</v>
      </c>
      <c r="AI123" s="30">
        <f t="shared" si="64"/>
        <v>0</v>
      </c>
      <c r="AJ123" s="30">
        <f t="shared" si="65"/>
        <v>2712500</v>
      </c>
      <c r="AK123" s="30">
        <f t="shared" si="66"/>
        <v>0</v>
      </c>
      <c r="AL123" s="30">
        <f t="shared" si="67"/>
        <v>0</v>
      </c>
      <c r="AM123" s="71">
        <f t="shared" si="55"/>
        <v>6650000</v>
      </c>
    </row>
    <row r="124" spans="1:39" ht="15.75" thickBot="1">
      <c r="A124" s="13" t="s">
        <v>84</v>
      </c>
      <c r="B124" s="14"/>
      <c r="C124" s="15"/>
      <c r="D124" s="25">
        <f t="shared" ref="D124:Z124" si="68">SUM(D118:D123)</f>
        <v>412500</v>
      </c>
      <c r="E124" s="25">
        <f t="shared" si="68"/>
        <v>426250</v>
      </c>
      <c r="F124" s="25">
        <f t="shared" si="68"/>
        <v>3037500</v>
      </c>
      <c r="G124" s="14">
        <f t="shared" si="68"/>
        <v>3138750</v>
      </c>
      <c r="H124" s="25">
        <f t="shared" si="68"/>
        <v>3138750</v>
      </c>
      <c r="I124" s="25">
        <f t="shared" si="68"/>
        <v>5662500</v>
      </c>
      <c r="J124" s="25">
        <f t="shared" si="68"/>
        <v>5851250</v>
      </c>
      <c r="K124" s="25">
        <f t="shared" si="68"/>
        <v>3037500</v>
      </c>
      <c r="L124" s="25">
        <f t="shared" si="68"/>
        <v>3138750</v>
      </c>
      <c r="M124" s="72">
        <f t="shared" si="68"/>
        <v>27843750</v>
      </c>
      <c r="N124" s="25">
        <f t="shared" si="68"/>
        <v>1782500</v>
      </c>
      <c r="O124" s="25">
        <f t="shared" si="68"/>
        <v>1610000</v>
      </c>
      <c r="P124" s="25">
        <f t="shared" si="68"/>
        <v>426250</v>
      </c>
      <c r="Q124" s="25">
        <f t="shared" si="68"/>
        <v>3037500</v>
      </c>
      <c r="R124" s="25">
        <f t="shared" si="68"/>
        <v>3138750</v>
      </c>
      <c r="S124" s="25">
        <f t="shared" si="68"/>
        <v>5662500</v>
      </c>
      <c r="T124" s="25">
        <f t="shared" si="68"/>
        <v>5851250</v>
      </c>
      <c r="U124" s="25">
        <f t="shared" si="68"/>
        <v>4495000</v>
      </c>
      <c r="V124" s="25">
        <f t="shared" si="68"/>
        <v>5662500</v>
      </c>
      <c r="W124" s="25">
        <f t="shared" si="68"/>
        <v>5851250</v>
      </c>
      <c r="X124" s="25">
        <f t="shared" si="68"/>
        <v>423000</v>
      </c>
      <c r="Y124" s="25">
        <f t="shared" si="68"/>
        <v>3138750</v>
      </c>
      <c r="Z124" s="72">
        <f t="shared" si="68"/>
        <v>41079250</v>
      </c>
      <c r="AA124" s="25">
        <f t="shared" ref="AA124:AM124" si="69">SUM(AA118:AA123)</f>
        <v>1782500</v>
      </c>
      <c r="AB124" s="25">
        <f t="shared" si="69"/>
        <v>1610000</v>
      </c>
      <c r="AC124" s="25">
        <f t="shared" si="69"/>
        <v>426250</v>
      </c>
      <c r="AD124" s="25">
        <f t="shared" si="69"/>
        <v>3037500</v>
      </c>
      <c r="AE124" s="25">
        <f t="shared" si="69"/>
        <v>3138750</v>
      </c>
      <c r="AF124" s="25">
        <f t="shared" si="69"/>
        <v>5662500</v>
      </c>
      <c r="AG124" s="25">
        <f t="shared" si="69"/>
        <v>5851250</v>
      </c>
      <c r="AH124" s="25">
        <f t="shared" si="69"/>
        <v>4495000</v>
      </c>
      <c r="AI124" s="25">
        <f t="shared" si="69"/>
        <v>5662500</v>
      </c>
      <c r="AJ124" s="25">
        <f t="shared" si="69"/>
        <v>5851250</v>
      </c>
      <c r="AK124" s="25">
        <f t="shared" si="69"/>
        <v>423000</v>
      </c>
      <c r="AL124" s="25">
        <f t="shared" si="69"/>
        <v>3138750</v>
      </c>
      <c r="AM124" s="72">
        <f t="shared" si="69"/>
        <v>41079250</v>
      </c>
    </row>
    <row r="125" spans="1:39">
      <c r="M125" s="75">
        <f>M124/1000</f>
        <v>27843.75</v>
      </c>
      <c r="Z125" s="75">
        <f>Z124/1000</f>
        <v>41079.25</v>
      </c>
      <c r="AM125" s="75">
        <f>AM124/1000</f>
        <v>41079.25</v>
      </c>
    </row>
  </sheetData>
  <mergeCells count="4">
    <mergeCell ref="D42:F42"/>
    <mergeCell ref="D41:F41"/>
    <mergeCell ref="G41:J41"/>
    <mergeCell ref="G42:J42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K26"/>
  <sheetViews>
    <sheetView topLeftCell="A22" workbookViewId="0">
      <selection activeCell="A29" sqref="A29"/>
    </sheetView>
  </sheetViews>
  <sheetFormatPr defaultRowHeight="15"/>
  <cols>
    <col min="1" max="1" width="38.42578125" customWidth="1"/>
    <col min="2" max="10" width="9.140625" customWidth="1"/>
    <col min="12" max="23" width="9.140625" customWidth="1"/>
    <col min="25" max="36" width="9.140625" customWidth="1"/>
  </cols>
  <sheetData>
    <row r="2" spans="1:37">
      <c r="A2" t="s">
        <v>90</v>
      </c>
      <c r="B2">
        <f>300</f>
        <v>300</v>
      </c>
      <c r="E2" t="s">
        <v>100</v>
      </c>
      <c r="J2">
        <v>5000</v>
      </c>
    </row>
    <row r="3" spans="1:37">
      <c r="A3" t="s">
        <v>91</v>
      </c>
      <c r="B3">
        <f>2.2</f>
        <v>2.2000000000000002</v>
      </c>
      <c r="E3" t="s">
        <v>103</v>
      </c>
      <c r="H3">
        <v>1.5</v>
      </c>
      <c r="I3">
        <v>24</v>
      </c>
      <c r="J3">
        <v>2.31</v>
      </c>
      <c r="K3" t="s">
        <v>102</v>
      </c>
    </row>
    <row r="4" spans="1:37">
      <c r="A4" t="s">
        <v>94</v>
      </c>
      <c r="B4">
        <f>Лист1!C30</f>
        <v>350</v>
      </c>
    </row>
    <row r="6" spans="1:37">
      <c r="A6" s="76" t="s">
        <v>92</v>
      </c>
    </row>
    <row r="7" spans="1:37" ht="15.75" thickBot="1"/>
    <row r="8" spans="1:37">
      <c r="A8" s="1"/>
      <c r="B8" s="24"/>
      <c r="C8" s="24"/>
      <c r="D8" s="24"/>
      <c r="E8" s="24">
        <v>2016</v>
      </c>
      <c r="F8" s="2"/>
      <c r="G8" s="2"/>
      <c r="H8" s="2"/>
      <c r="I8" s="2"/>
      <c r="J8" s="2"/>
      <c r="K8" s="41" t="s">
        <v>72</v>
      </c>
      <c r="L8" s="2"/>
      <c r="M8" s="2"/>
      <c r="N8" s="2"/>
      <c r="O8" s="2"/>
      <c r="P8" s="2"/>
      <c r="Q8" s="24">
        <v>2017</v>
      </c>
      <c r="R8" s="2"/>
      <c r="S8" s="2"/>
      <c r="T8" s="2"/>
      <c r="U8" s="2"/>
      <c r="V8" s="2"/>
      <c r="W8" s="2"/>
      <c r="X8" s="41" t="s">
        <v>72</v>
      </c>
      <c r="Y8" s="2"/>
      <c r="Z8" s="2"/>
      <c r="AA8" s="2"/>
      <c r="AB8" s="2"/>
      <c r="AC8" s="2"/>
      <c r="AD8" s="24">
        <v>2018</v>
      </c>
      <c r="AE8" s="2"/>
      <c r="AF8" s="2"/>
      <c r="AG8" s="2"/>
      <c r="AH8" s="2"/>
      <c r="AI8" s="2"/>
      <c r="AJ8" s="2"/>
      <c r="AK8" s="41" t="s">
        <v>72</v>
      </c>
    </row>
    <row r="9" spans="1:37" ht="15.75" thickBot="1">
      <c r="A9" s="7"/>
      <c r="B9" s="33" t="s">
        <v>14</v>
      </c>
      <c r="C9" s="33" t="s">
        <v>1</v>
      </c>
      <c r="D9" s="33" t="s">
        <v>4</v>
      </c>
      <c r="E9" s="33" t="s">
        <v>5</v>
      </c>
      <c r="F9" s="33" t="s">
        <v>7</v>
      </c>
      <c r="G9" s="33" t="s">
        <v>9</v>
      </c>
      <c r="H9" s="33" t="s">
        <v>26</v>
      </c>
      <c r="I9" s="33" t="s">
        <v>22</v>
      </c>
      <c r="J9" s="33" t="s">
        <v>36</v>
      </c>
      <c r="K9" s="62" t="s">
        <v>190</v>
      </c>
      <c r="L9" s="33" t="s">
        <v>23</v>
      </c>
      <c r="M9" s="33" t="s">
        <v>24</v>
      </c>
      <c r="N9" s="33" t="s">
        <v>13</v>
      </c>
      <c r="O9" s="33" t="s">
        <v>14</v>
      </c>
      <c r="P9" s="33" t="s">
        <v>1</v>
      </c>
      <c r="Q9" s="33" t="s">
        <v>4</v>
      </c>
      <c r="R9" s="33" t="s">
        <v>5</v>
      </c>
      <c r="S9" s="33" t="s">
        <v>7</v>
      </c>
      <c r="T9" s="8" t="s">
        <v>9</v>
      </c>
      <c r="U9" s="33" t="s">
        <v>26</v>
      </c>
      <c r="V9" s="33" t="s">
        <v>22</v>
      </c>
      <c r="W9" s="33" t="s">
        <v>36</v>
      </c>
      <c r="X9" s="62" t="s">
        <v>191</v>
      </c>
      <c r="Y9" s="33" t="s">
        <v>23</v>
      </c>
      <c r="Z9" s="33" t="s">
        <v>24</v>
      </c>
      <c r="AA9" s="33" t="s">
        <v>13</v>
      </c>
      <c r="AB9" s="33" t="s">
        <v>14</v>
      </c>
      <c r="AC9" s="33" t="s">
        <v>1</v>
      </c>
      <c r="AD9" s="33" t="s">
        <v>4</v>
      </c>
      <c r="AE9" s="33" t="s">
        <v>5</v>
      </c>
      <c r="AF9" s="33" t="s">
        <v>7</v>
      </c>
      <c r="AG9" s="8" t="s">
        <v>9</v>
      </c>
      <c r="AH9" s="33" t="s">
        <v>26</v>
      </c>
      <c r="AI9" s="33" t="s">
        <v>22</v>
      </c>
      <c r="AJ9" s="33" t="s">
        <v>36</v>
      </c>
      <c r="AK9" s="62" t="s">
        <v>192</v>
      </c>
    </row>
    <row r="10" spans="1:37">
      <c r="A10" s="77" t="s">
        <v>93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f>B2*B3*B4</f>
        <v>231000</v>
      </c>
      <c r="J10" s="24">
        <v>0</v>
      </c>
      <c r="K10" s="41">
        <f>SUM(B10:J10)</f>
        <v>231000</v>
      </c>
      <c r="L10" s="24">
        <f>B2*B3*B4/2</f>
        <v>115500</v>
      </c>
      <c r="M10" s="24">
        <f>B2*B3*B4/2</f>
        <v>115500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f>B2*B3*B4</f>
        <v>231000</v>
      </c>
      <c r="T10" s="24">
        <v>0</v>
      </c>
      <c r="U10" s="24">
        <v>0</v>
      </c>
      <c r="V10" s="24">
        <f>B2*B3*B4</f>
        <v>231000</v>
      </c>
      <c r="W10" s="24">
        <v>0</v>
      </c>
      <c r="X10" s="41">
        <f>SUM(L10:W10)</f>
        <v>693000</v>
      </c>
      <c r="Y10" s="24">
        <f>L10</f>
        <v>115500</v>
      </c>
      <c r="Z10" s="24">
        <f t="shared" ref="Z10:AJ10" si="0">M10</f>
        <v>115500</v>
      </c>
      <c r="AA10" s="24">
        <f t="shared" si="0"/>
        <v>0</v>
      </c>
      <c r="AB10" s="24">
        <f t="shared" si="0"/>
        <v>0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231000</v>
      </c>
      <c r="AG10" s="24">
        <f t="shared" si="0"/>
        <v>0</v>
      </c>
      <c r="AH10" s="24">
        <f t="shared" si="0"/>
        <v>0</v>
      </c>
      <c r="AI10" s="24">
        <f t="shared" si="0"/>
        <v>231000</v>
      </c>
      <c r="AJ10" s="24">
        <f t="shared" si="0"/>
        <v>0</v>
      </c>
      <c r="AK10" s="41">
        <f>SUM(Y10:AJ10)</f>
        <v>693000</v>
      </c>
    </row>
    <row r="11" spans="1:37" ht="15.75" thickBot="1">
      <c r="A11" s="7"/>
      <c r="B11" s="33"/>
      <c r="C11" s="33"/>
      <c r="D11" s="33"/>
      <c r="E11" s="33"/>
      <c r="F11" s="33"/>
      <c r="G11" s="33"/>
      <c r="H11" s="33"/>
      <c r="I11" s="33"/>
      <c r="J11" s="33"/>
      <c r="K11" s="6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6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62"/>
    </row>
    <row r="12" spans="1:37" ht="15.75" thickBot="1">
      <c r="A12" s="13" t="s">
        <v>72</v>
      </c>
      <c r="B12" s="25">
        <f t="shared" ref="B12:J12" si="1">SUM(B10:B11)</f>
        <v>0</v>
      </c>
      <c r="C12" s="25">
        <f t="shared" si="1"/>
        <v>0</v>
      </c>
      <c r="D12" s="25">
        <f t="shared" si="1"/>
        <v>0</v>
      </c>
      <c r="E12" s="25">
        <f t="shared" si="1"/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5">
        <f t="shared" si="1"/>
        <v>231000</v>
      </c>
      <c r="J12" s="25">
        <f t="shared" si="1"/>
        <v>0</v>
      </c>
      <c r="K12" s="72">
        <f>SUM(B12:J12)</f>
        <v>231000</v>
      </c>
      <c r="L12" s="25">
        <f t="shared" ref="L12:W12" si="2">SUM(L10:L11)</f>
        <v>115500</v>
      </c>
      <c r="M12" s="25">
        <f t="shared" si="2"/>
        <v>115500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231000</v>
      </c>
      <c r="T12" s="25">
        <f t="shared" si="2"/>
        <v>0</v>
      </c>
      <c r="U12" s="25">
        <f t="shared" si="2"/>
        <v>0</v>
      </c>
      <c r="V12" s="25">
        <f t="shared" si="2"/>
        <v>231000</v>
      </c>
      <c r="W12" s="25">
        <f t="shared" si="2"/>
        <v>0</v>
      </c>
      <c r="X12" s="72">
        <f>SUM(L12:W12)</f>
        <v>693000</v>
      </c>
      <c r="Y12" s="25">
        <f t="shared" ref="Y12:AJ12" si="3">SUM(Y10:Y11)</f>
        <v>115500</v>
      </c>
      <c r="Z12" s="25">
        <f t="shared" si="3"/>
        <v>115500</v>
      </c>
      <c r="AA12" s="25">
        <f t="shared" si="3"/>
        <v>0</v>
      </c>
      <c r="AB12" s="25">
        <f t="shared" si="3"/>
        <v>0</v>
      </c>
      <c r="AC12" s="25">
        <f t="shared" si="3"/>
        <v>0</v>
      </c>
      <c r="AD12" s="25">
        <f t="shared" si="3"/>
        <v>0</v>
      </c>
      <c r="AE12" s="25">
        <f t="shared" si="3"/>
        <v>0</v>
      </c>
      <c r="AF12" s="25">
        <f t="shared" si="3"/>
        <v>231000</v>
      </c>
      <c r="AG12" s="25">
        <f t="shared" si="3"/>
        <v>0</v>
      </c>
      <c r="AH12" s="25">
        <f t="shared" si="3"/>
        <v>0</v>
      </c>
      <c r="AI12" s="25">
        <f t="shared" si="3"/>
        <v>231000</v>
      </c>
      <c r="AJ12" s="25">
        <f t="shared" si="3"/>
        <v>0</v>
      </c>
      <c r="AK12" s="72">
        <f>SUM(Y12:AJ12)</f>
        <v>693000</v>
      </c>
    </row>
    <row r="15" spans="1:37" ht="15.75" thickBot="1">
      <c r="B15" s="12"/>
    </row>
    <row r="16" spans="1:37" ht="15.75" thickBot="1">
      <c r="A16" s="243" t="s">
        <v>189</v>
      </c>
      <c r="B16" s="257">
        <v>2016</v>
      </c>
      <c r="C16" s="258"/>
      <c r="D16" s="258"/>
      <c r="E16" s="258"/>
      <c r="F16" s="258"/>
      <c r="G16" s="258"/>
      <c r="H16" s="258"/>
      <c r="I16" s="258"/>
      <c r="J16" s="259"/>
      <c r="K16" s="72" t="s">
        <v>72</v>
      </c>
      <c r="L16" s="257">
        <v>2017</v>
      </c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9"/>
      <c r="X16" s="72" t="s">
        <v>72</v>
      </c>
      <c r="Y16" s="257">
        <v>2018</v>
      </c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9"/>
      <c r="AK16" s="72" t="s">
        <v>72</v>
      </c>
    </row>
    <row r="17" spans="1:37" ht="15.75" thickBot="1">
      <c r="A17" s="7"/>
      <c r="B17" s="244">
        <v>4</v>
      </c>
      <c r="C17" s="245">
        <v>5</v>
      </c>
      <c r="D17" s="245">
        <v>6</v>
      </c>
      <c r="E17" s="245">
        <v>7</v>
      </c>
      <c r="F17" s="245">
        <v>8</v>
      </c>
      <c r="G17" s="245">
        <v>9</v>
      </c>
      <c r="H17" s="245">
        <v>10</v>
      </c>
      <c r="I17" s="245">
        <v>11</v>
      </c>
      <c r="J17" s="245">
        <v>12</v>
      </c>
      <c r="K17" s="245" t="s">
        <v>190</v>
      </c>
      <c r="L17" s="245">
        <v>1</v>
      </c>
      <c r="M17" s="245">
        <v>2</v>
      </c>
      <c r="N17" s="245">
        <v>3</v>
      </c>
      <c r="O17" s="245">
        <v>4</v>
      </c>
      <c r="P17" s="245">
        <v>5</v>
      </c>
      <c r="Q17" s="245">
        <v>6</v>
      </c>
      <c r="R17" s="245">
        <v>7</v>
      </c>
      <c r="S17" s="245">
        <v>8</v>
      </c>
      <c r="T17" s="245">
        <v>9</v>
      </c>
      <c r="U17" s="245">
        <v>10</v>
      </c>
      <c r="V17" s="245">
        <v>11</v>
      </c>
      <c r="W17" s="245">
        <v>12</v>
      </c>
      <c r="X17" s="245" t="s">
        <v>191</v>
      </c>
      <c r="Y17" s="245">
        <v>1</v>
      </c>
      <c r="Z17" s="245">
        <v>2</v>
      </c>
      <c r="AA17" s="245">
        <v>3</v>
      </c>
      <c r="AB17" s="245">
        <v>4</v>
      </c>
      <c r="AC17" s="245">
        <v>5</v>
      </c>
      <c r="AD17" s="245">
        <v>6</v>
      </c>
      <c r="AE17" s="245">
        <v>7</v>
      </c>
      <c r="AF17" s="245">
        <v>8</v>
      </c>
      <c r="AG17" s="245">
        <v>9</v>
      </c>
      <c r="AH17" s="245">
        <v>10</v>
      </c>
      <c r="AI17" s="245">
        <v>11</v>
      </c>
      <c r="AJ17" s="245">
        <v>12</v>
      </c>
      <c r="AK17" s="34" t="s">
        <v>192</v>
      </c>
    </row>
    <row r="18" spans="1:37">
      <c r="A18" s="235" t="s">
        <v>95</v>
      </c>
      <c r="B18" s="240">
        <f t="shared" ref="B18:X18" si="4">B19+B20+B21</f>
        <v>3333</v>
      </c>
      <c r="C18" s="240">
        <f t="shared" si="4"/>
        <v>2633.4500000000003</v>
      </c>
      <c r="D18" s="240">
        <f t="shared" si="4"/>
        <v>1917</v>
      </c>
      <c r="E18" s="240">
        <f t="shared" si="4"/>
        <v>7889.5000000000009</v>
      </c>
      <c r="F18" s="240">
        <f t="shared" si="4"/>
        <v>8800.9000000000015</v>
      </c>
      <c r="G18" s="240">
        <f t="shared" si="4"/>
        <v>13659.6</v>
      </c>
      <c r="H18" s="240">
        <f t="shared" si="4"/>
        <v>33932.600000000006</v>
      </c>
      <c r="I18" s="241">
        <f t="shared" si="4"/>
        <v>13812</v>
      </c>
      <c r="J18" s="240">
        <f t="shared" si="4"/>
        <v>21021.100000000002</v>
      </c>
      <c r="K18" s="240">
        <f t="shared" si="4"/>
        <v>106999.15000000001</v>
      </c>
      <c r="L18" s="240">
        <f t="shared" si="4"/>
        <v>12601.500000000002</v>
      </c>
      <c r="M18" s="240">
        <f t="shared" si="4"/>
        <v>12675.6</v>
      </c>
      <c r="N18" s="240">
        <f t="shared" si="4"/>
        <v>2633.4500000000003</v>
      </c>
      <c r="O18" s="240">
        <f t="shared" si="4"/>
        <v>4152</v>
      </c>
      <c r="P18" s="240">
        <f t="shared" si="4"/>
        <v>13374.95</v>
      </c>
      <c r="Q18" s="240">
        <f t="shared" si="4"/>
        <v>9372</v>
      </c>
      <c r="R18" s="240">
        <f t="shared" si="4"/>
        <v>20171.699999999997</v>
      </c>
      <c r="S18" s="240">
        <f t="shared" si="4"/>
        <v>15744.900000000001</v>
      </c>
      <c r="T18" s="240">
        <f t="shared" si="4"/>
        <v>13782</v>
      </c>
      <c r="U18" s="240">
        <f t="shared" si="4"/>
        <v>33932.600000000006</v>
      </c>
      <c r="V18" s="241">
        <f t="shared" si="4"/>
        <v>13812</v>
      </c>
      <c r="W18" s="240">
        <f t="shared" si="4"/>
        <v>21021.100000000002</v>
      </c>
      <c r="X18" s="240">
        <f t="shared" si="4"/>
        <v>173273.80000000002</v>
      </c>
      <c r="Y18" s="240">
        <f>L18</f>
        <v>12601.500000000002</v>
      </c>
      <c r="Z18" s="240">
        <f t="shared" ref="Z18:AK18" si="5">M18</f>
        <v>12675.6</v>
      </c>
      <c r="AA18" s="240">
        <f t="shared" si="5"/>
        <v>2633.4500000000003</v>
      </c>
      <c r="AB18" s="240">
        <f t="shared" si="5"/>
        <v>4152</v>
      </c>
      <c r="AC18" s="240">
        <f t="shared" si="5"/>
        <v>13374.95</v>
      </c>
      <c r="AD18" s="240">
        <f t="shared" si="5"/>
        <v>9372</v>
      </c>
      <c r="AE18" s="240">
        <f t="shared" si="5"/>
        <v>20171.699999999997</v>
      </c>
      <c r="AF18" s="240">
        <f t="shared" si="5"/>
        <v>15744.900000000001</v>
      </c>
      <c r="AG18" s="240">
        <f t="shared" si="5"/>
        <v>13782</v>
      </c>
      <c r="AH18" s="240">
        <f t="shared" si="5"/>
        <v>33932.600000000006</v>
      </c>
      <c r="AI18" s="240">
        <f t="shared" si="5"/>
        <v>13812</v>
      </c>
      <c r="AJ18" s="240">
        <f t="shared" si="5"/>
        <v>21021.100000000002</v>
      </c>
      <c r="AK18" s="242">
        <f t="shared" si="5"/>
        <v>173273.80000000002</v>
      </c>
    </row>
    <row r="19" spans="1:37">
      <c r="A19" s="133" t="s">
        <v>96</v>
      </c>
      <c r="B19" s="90">
        <f>Лист1!D80/1000*Лист1!P45</f>
        <v>2310</v>
      </c>
      <c r="C19" s="90">
        <f>Лист1!E80/1000*Лист1!P45</f>
        <v>1421.3500000000001</v>
      </c>
      <c r="D19" s="90">
        <f>Лист1!F80/1000*Лист1!P45</f>
        <v>1869</v>
      </c>
      <c r="E19" s="90">
        <f>Лист1!G80/1000*Лист1!P45</f>
        <v>7746.9000000000005</v>
      </c>
      <c r="F19" s="90">
        <f>Лист1!H80/1000*Лист1!P45</f>
        <v>8658.3000000000011</v>
      </c>
      <c r="G19" s="90">
        <f>Лист1!I80*Лист1!P45/1000</f>
        <v>13629</v>
      </c>
      <c r="H19" s="90">
        <f>Лист1!J80/1000*Лист1!P45</f>
        <v>23739.8</v>
      </c>
      <c r="I19" s="86">
        <f>Лист1!K80/1000*Лист1!P45</f>
        <v>9744</v>
      </c>
      <c r="J19" s="90">
        <f>Лист1!L80/1000*Лист1!P45</f>
        <v>14625.800000000001</v>
      </c>
      <c r="K19" s="90">
        <f t="shared" ref="K19:K25" si="6">SUM(B19:J19)</f>
        <v>83744.150000000009</v>
      </c>
      <c r="L19" s="90">
        <f>Лист1!N80/1000*Лист1!P45</f>
        <v>8549.8000000000011</v>
      </c>
      <c r="M19" s="90">
        <f>Лист1!O80/1000*Лист1!P45</f>
        <v>9016</v>
      </c>
      <c r="N19" s="90">
        <f>Лист1!P80/1000*Лист1!P45</f>
        <v>1421.3500000000001</v>
      </c>
      <c r="O19" s="90">
        <f>Лист1!Q80/1000*Лист1!P45</f>
        <v>2562</v>
      </c>
      <c r="P19" s="90">
        <f>Лист1!R80/1000*Лист1!P45</f>
        <v>9016.35</v>
      </c>
      <c r="Q19" s="90">
        <f>Лист1!S80/1000*Лист1!P45</f>
        <v>9219</v>
      </c>
      <c r="R19" s="90">
        <f>Лист1!T80/1000*Лист1!P45</f>
        <v>19898.899999999998</v>
      </c>
      <c r="S19" s="90">
        <f>Лист1!U80/1000*Лист1!P45</f>
        <v>15493.800000000001</v>
      </c>
      <c r="T19" s="90">
        <f>Лист1!V80/1000*Лист1!P45</f>
        <v>13629</v>
      </c>
      <c r="U19" s="90">
        <f>Лист1!W80/1000*Лист1!P45</f>
        <v>23739.8</v>
      </c>
      <c r="V19" s="86">
        <f>Лист1!X80/1000*Лист1!P45</f>
        <v>9744</v>
      </c>
      <c r="W19" s="90">
        <f>Лист1!Y80/1000*Лист1!P45</f>
        <v>14625.800000000001</v>
      </c>
      <c r="X19" s="90">
        <f>Лист1!Z81*Лист1!P45</f>
        <v>136915.80000000002</v>
      </c>
      <c r="Y19" s="234">
        <f t="shared" ref="Y19:Y25" si="7">L19</f>
        <v>8549.8000000000011</v>
      </c>
      <c r="Z19" s="234">
        <f t="shared" ref="Z19:Z25" si="8">M19</f>
        <v>9016</v>
      </c>
      <c r="AA19" s="234">
        <f t="shared" ref="AA19:AA25" si="9">N19</f>
        <v>1421.3500000000001</v>
      </c>
      <c r="AB19" s="234">
        <f t="shared" ref="AB19:AB25" si="10">O19</f>
        <v>2562</v>
      </c>
      <c r="AC19" s="234">
        <f t="shared" ref="AC19:AC25" si="11">P19</f>
        <v>9016.35</v>
      </c>
      <c r="AD19" s="234">
        <f t="shared" ref="AD19:AD25" si="12">Q19</f>
        <v>9219</v>
      </c>
      <c r="AE19" s="234">
        <f t="shared" ref="AE19:AE25" si="13">R19</f>
        <v>19898.899999999998</v>
      </c>
      <c r="AF19" s="234">
        <f t="shared" ref="AF19:AF25" si="14">S19</f>
        <v>15493.800000000001</v>
      </c>
      <c r="AG19" s="234">
        <f t="shared" ref="AG19:AG25" si="15">T19</f>
        <v>13629</v>
      </c>
      <c r="AH19" s="234">
        <f t="shared" ref="AH19:AH25" si="16">U19</f>
        <v>23739.8</v>
      </c>
      <c r="AI19" s="234">
        <f t="shared" ref="AI19:AI25" si="17">V19</f>
        <v>9744</v>
      </c>
      <c r="AJ19" s="234">
        <f t="shared" ref="AJ19:AJ21" si="18">W19</f>
        <v>14625.800000000001</v>
      </c>
      <c r="AK19" s="236">
        <f t="shared" ref="AK19:AK21" si="19">X19</f>
        <v>136915.80000000002</v>
      </c>
    </row>
    <row r="20" spans="1:37">
      <c r="A20" s="133" t="s">
        <v>42</v>
      </c>
      <c r="B20" s="86">
        <f>Лист1!D102/1000*Лист1!P44</f>
        <v>990</v>
      </c>
      <c r="C20" s="86">
        <f>Лист1!E102/1000*Лист1!P44</f>
        <v>1178</v>
      </c>
      <c r="D20" s="86">
        <f>Лист1!F102/1000*Лист1!P44</f>
        <v>0</v>
      </c>
      <c r="E20" s="86">
        <f>Лист1!G102/1000*Лист1!P44</f>
        <v>0</v>
      </c>
      <c r="F20" s="86">
        <f>Лист1!H102/1000*Лист1!P44</f>
        <v>0</v>
      </c>
      <c r="G20" s="86">
        <f>Лист1!I102/1000*Лист1!P44</f>
        <v>0</v>
      </c>
      <c r="H20" s="86">
        <f>Лист1!J102/1000*Лист1!P44</f>
        <v>9920</v>
      </c>
      <c r="I20" s="86">
        <f>Лист1!K102/1000*Лист1!P44</f>
        <v>3930</v>
      </c>
      <c r="J20" s="90">
        <f>Лист1!L102/1000*Лист1!P44</f>
        <v>6231</v>
      </c>
      <c r="K20" s="90">
        <f t="shared" si="6"/>
        <v>22249</v>
      </c>
      <c r="L20" s="90">
        <f>Лист1!N102/1000*Лист1!P44</f>
        <v>3952.5</v>
      </c>
      <c r="M20" s="86">
        <f>Лист1!O102/1000*Лист1!P44</f>
        <v>3570</v>
      </c>
      <c r="N20" s="86">
        <f>Лист1!P102/1000*Лист1!P44</f>
        <v>1178</v>
      </c>
      <c r="O20" s="86">
        <f>Лист1!Q102/1000*Лист1!P44</f>
        <v>1542</v>
      </c>
      <c r="P20" s="86">
        <f>Лист1!R102/1000*Лист1!P44</f>
        <v>4216</v>
      </c>
      <c r="Q20" s="86">
        <f>Лист1!S102/1000*Лист1!P44</f>
        <v>0</v>
      </c>
      <c r="R20" s="86">
        <f>Лист1!T102/1000*Лист1!P44</f>
        <v>0</v>
      </c>
      <c r="S20" s="86">
        <f>Лист1!U102/1000*Лист1!P44</f>
        <v>0</v>
      </c>
      <c r="T20" s="86">
        <f>Лист1!V102/1000*Лист1!P44</f>
        <v>0</v>
      </c>
      <c r="U20" s="86">
        <f>Лист1!W102/1000*Лист1!P44</f>
        <v>9920</v>
      </c>
      <c r="V20" s="86">
        <f>Лист1!X102/1000*Лист1!P44</f>
        <v>3930</v>
      </c>
      <c r="W20" s="90">
        <f>Лист1!Y102/1000*Лист1!P44</f>
        <v>6231</v>
      </c>
      <c r="X20" s="90">
        <f>Лист1!Z103*Лист1!P44</f>
        <v>34539.5</v>
      </c>
      <c r="Y20" s="234">
        <f t="shared" si="7"/>
        <v>3952.5</v>
      </c>
      <c r="Z20" s="234">
        <f t="shared" si="8"/>
        <v>3570</v>
      </c>
      <c r="AA20" s="234">
        <f t="shared" si="9"/>
        <v>1178</v>
      </c>
      <c r="AB20" s="234">
        <f t="shared" si="10"/>
        <v>1542</v>
      </c>
      <c r="AC20" s="234">
        <f t="shared" si="11"/>
        <v>4216</v>
      </c>
      <c r="AD20" s="234">
        <f t="shared" si="12"/>
        <v>0</v>
      </c>
      <c r="AE20" s="234">
        <f t="shared" si="13"/>
        <v>0</v>
      </c>
      <c r="AF20" s="234">
        <f t="shared" si="14"/>
        <v>0</v>
      </c>
      <c r="AG20" s="234">
        <f t="shared" si="15"/>
        <v>0</v>
      </c>
      <c r="AH20" s="234">
        <f t="shared" si="16"/>
        <v>9920</v>
      </c>
      <c r="AI20" s="234">
        <f t="shared" si="17"/>
        <v>3930</v>
      </c>
      <c r="AJ20" s="234">
        <f t="shared" si="18"/>
        <v>6231</v>
      </c>
      <c r="AK20" s="236">
        <f t="shared" si="19"/>
        <v>34539.5</v>
      </c>
    </row>
    <row r="21" spans="1:37">
      <c r="A21" s="133" t="s">
        <v>97</v>
      </c>
      <c r="B21" s="86">
        <f>Лист1!D91/1000*Лист1!P46</f>
        <v>33</v>
      </c>
      <c r="C21" s="90">
        <f>Лист1!E91/1000*Лист1!P46</f>
        <v>34.1</v>
      </c>
      <c r="D21" s="86">
        <f>Лист1!F91/1000*Лист1!P46</f>
        <v>48</v>
      </c>
      <c r="E21" s="90">
        <f>Лист1!G91/1000*Лист1!P46</f>
        <v>142.6</v>
      </c>
      <c r="F21" s="90">
        <f>Лист1!H91/1000*Лист1!P46</f>
        <v>142.6</v>
      </c>
      <c r="G21" s="90">
        <f>Лист1!I91/1000*Лист1!P44</f>
        <v>30.6</v>
      </c>
      <c r="H21" s="90">
        <f>Лист1!J91/1000*Лист1!P46</f>
        <v>272.8</v>
      </c>
      <c r="I21" s="86">
        <f>Лист1!K91/1000*Лист1!P46</f>
        <v>138</v>
      </c>
      <c r="J21" s="90">
        <f>Лист1!L91/1000*Лист1!P46</f>
        <v>164.3</v>
      </c>
      <c r="K21" s="90">
        <f t="shared" si="6"/>
        <v>1006</v>
      </c>
      <c r="L21" s="90">
        <f>Лист1!N91/1000*Лист1!P46</f>
        <v>99.2</v>
      </c>
      <c r="M21" s="90">
        <f>Лист1!O91/1000*Лист1!P46</f>
        <v>89.600000000000009</v>
      </c>
      <c r="N21" s="90">
        <f>Лист1!P91/1000*Лист1!P46</f>
        <v>34.1</v>
      </c>
      <c r="O21" s="86">
        <f>Лист1!Q91/1000*Лист1!P46</f>
        <v>48</v>
      </c>
      <c r="P21" s="90">
        <f>Лист1!R91/1000*Лист1!P46</f>
        <v>142.6</v>
      </c>
      <c r="Q21" s="86">
        <f>Лист1!S91/1000*Лист1!P46</f>
        <v>153</v>
      </c>
      <c r="R21" s="90">
        <f>Лист1!T91/1000*Лист1!P46</f>
        <v>272.8</v>
      </c>
      <c r="S21" s="90">
        <f>Лист1!U91/1000*Лист1!P46</f>
        <v>251.1</v>
      </c>
      <c r="T21" s="86">
        <f>Лист1!V91/1000*Лист1!P46</f>
        <v>153</v>
      </c>
      <c r="U21" s="90">
        <f>Лист1!W91/1000*Лист1!P46</f>
        <v>272.8</v>
      </c>
      <c r="V21" s="86">
        <f>Лист1!X91/1000*Лист1!P46</f>
        <v>138</v>
      </c>
      <c r="W21" s="90">
        <f>Лист1!Y91/1000*Лист1!P46</f>
        <v>164.3</v>
      </c>
      <c r="X21" s="90">
        <f>Лист1!Z91/1000*Лист1!P46</f>
        <v>1818.5</v>
      </c>
      <c r="Y21" s="234">
        <f t="shared" si="7"/>
        <v>99.2</v>
      </c>
      <c r="Z21" s="234">
        <f t="shared" si="8"/>
        <v>89.600000000000009</v>
      </c>
      <c r="AA21" s="234">
        <f t="shared" si="9"/>
        <v>34.1</v>
      </c>
      <c r="AB21" s="234">
        <f t="shared" si="10"/>
        <v>48</v>
      </c>
      <c r="AC21" s="234">
        <f t="shared" si="11"/>
        <v>142.6</v>
      </c>
      <c r="AD21" s="234">
        <f t="shared" si="12"/>
        <v>153</v>
      </c>
      <c r="AE21" s="234">
        <f t="shared" si="13"/>
        <v>272.8</v>
      </c>
      <c r="AF21" s="234">
        <f t="shared" si="14"/>
        <v>251.1</v>
      </c>
      <c r="AG21" s="234">
        <f t="shared" si="15"/>
        <v>153</v>
      </c>
      <c r="AH21" s="234">
        <f t="shared" si="16"/>
        <v>272.8</v>
      </c>
      <c r="AI21" s="234">
        <f t="shared" si="17"/>
        <v>138</v>
      </c>
      <c r="AJ21" s="234">
        <f t="shared" si="18"/>
        <v>164.3</v>
      </c>
      <c r="AK21" s="236">
        <f t="shared" si="19"/>
        <v>1818.5</v>
      </c>
    </row>
    <row r="22" spans="1:37">
      <c r="A22" s="237" t="s">
        <v>98</v>
      </c>
      <c r="B22" s="233">
        <f>H3*I3*J3*30</f>
        <v>2494.7999999999997</v>
      </c>
      <c r="C22" s="233">
        <v>0</v>
      </c>
      <c r="D22" s="233">
        <v>0</v>
      </c>
      <c r="E22" s="233">
        <v>0</v>
      </c>
      <c r="F22" s="233">
        <v>0</v>
      </c>
      <c r="G22" s="233">
        <f>H3*J3*I3*30</f>
        <v>2494.7999999999997</v>
      </c>
      <c r="H22" s="233">
        <f>H3*J3*I3*31</f>
        <v>2577.96</v>
      </c>
      <c r="I22" s="233">
        <f>H3*J3*I3*30</f>
        <v>2494.7999999999997</v>
      </c>
      <c r="J22" s="233">
        <f>H3*J3*I3*31</f>
        <v>2577.96</v>
      </c>
      <c r="K22" s="233">
        <f t="shared" si="6"/>
        <v>12640.32</v>
      </c>
      <c r="L22" s="233">
        <f>H3*J3*I3*31</f>
        <v>2577.96</v>
      </c>
      <c r="M22" s="233">
        <f>H3*J3*I3*28</f>
        <v>2328.48</v>
      </c>
      <c r="N22" s="233">
        <f>H3*J3*I3*31</f>
        <v>2577.96</v>
      </c>
      <c r="O22" s="233">
        <f>H3*J3*I3*30</f>
        <v>2494.7999999999997</v>
      </c>
      <c r="P22" s="233">
        <v>0</v>
      </c>
      <c r="Q22" s="233">
        <v>0</v>
      </c>
      <c r="R22" s="233">
        <v>0</v>
      </c>
      <c r="S22" s="233">
        <v>0</v>
      </c>
      <c r="T22" s="233">
        <f>H3*J3*24*30</f>
        <v>2494.7999999999997</v>
      </c>
      <c r="U22" s="233">
        <f>H3*J3*24*31</f>
        <v>2577.96</v>
      </c>
      <c r="V22" s="233">
        <f>H3*J3*24*30</f>
        <v>2494.7999999999997</v>
      </c>
      <c r="W22" s="233">
        <f>H3*J3*24*31</f>
        <v>2577.96</v>
      </c>
      <c r="X22" s="233">
        <f>SUM(L22:W22)</f>
        <v>20124.719999999998</v>
      </c>
      <c r="Y22" s="232">
        <f t="shared" si="7"/>
        <v>2577.96</v>
      </c>
      <c r="Z22" s="232">
        <f t="shared" si="8"/>
        <v>2328.48</v>
      </c>
      <c r="AA22" s="232">
        <f t="shared" si="9"/>
        <v>2577.96</v>
      </c>
      <c r="AB22" s="232">
        <f t="shared" si="10"/>
        <v>2494.7999999999997</v>
      </c>
      <c r="AC22" s="232">
        <f t="shared" si="11"/>
        <v>0</v>
      </c>
      <c r="AD22" s="232">
        <f t="shared" si="12"/>
        <v>0</v>
      </c>
      <c r="AE22" s="232">
        <f t="shared" si="13"/>
        <v>0</v>
      </c>
      <c r="AF22" s="232">
        <f t="shared" si="14"/>
        <v>0</v>
      </c>
      <c r="AG22" s="232">
        <f t="shared" si="15"/>
        <v>2494.7999999999997</v>
      </c>
      <c r="AH22" s="232">
        <f t="shared" si="16"/>
        <v>2577.96</v>
      </c>
      <c r="AI22" s="232">
        <f t="shared" si="17"/>
        <v>2494.7999999999997</v>
      </c>
      <c r="AJ22" s="232">
        <f t="shared" ref="AJ22:AJ25" si="20">W22</f>
        <v>2577.96</v>
      </c>
      <c r="AK22" s="238">
        <f>SUM(Y22:AJ22)</f>
        <v>20124.719999999998</v>
      </c>
    </row>
    <row r="23" spans="1:37">
      <c r="A23" s="237" t="s">
        <v>99</v>
      </c>
      <c r="B23" s="233">
        <f>J2</f>
        <v>5000</v>
      </c>
      <c r="C23" s="233">
        <f>J2</f>
        <v>5000</v>
      </c>
      <c r="D23" s="233">
        <f>J2</f>
        <v>5000</v>
      </c>
      <c r="E23" s="233">
        <f>J2</f>
        <v>5000</v>
      </c>
      <c r="F23" s="233">
        <f>J2</f>
        <v>5000</v>
      </c>
      <c r="G23" s="233">
        <f>J2</f>
        <v>5000</v>
      </c>
      <c r="H23" s="233">
        <f>J2</f>
        <v>5000</v>
      </c>
      <c r="I23" s="233">
        <f>J2</f>
        <v>5000</v>
      </c>
      <c r="J23" s="233">
        <f>J2</f>
        <v>5000</v>
      </c>
      <c r="K23" s="233">
        <f t="shared" si="6"/>
        <v>45000</v>
      </c>
      <c r="L23" s="233">
        <f>J2</f>
        <v>5000</v>
      </c>
      <c r="M23" s="233">
        <f>J2</f>
        <v>5000</v>
      </c>
      <c r="N23" s="233">
        <f>J2</f>
        <v>5000</v>
      </c>
      <c r="O23" s="233">
        <f>J2</f>
        <v>5000</v>
      </c>
      <c r="P23" s="233">
        <f>J2</f>
        <v>5000</v>
      </c>
      <c r="Q23" s="233">
        <f>J2</f>
        <v>5000</v>
      </c>
      <c r="R23" s="233">
        <f>J2</f>
        <v>5000</v>
      </c>
      <c r="S23" s="233">
        <f>J2</f>
        <v>5000</v>
      </c>
      <c r="T23" s="233">
        <f>J2</f>
        <v>5000</v>
      </c>
      <c r="U23" s="233">
        <f>J2</f>
        <v>5000</v>
      </c>
      <c r="V23" s="233">
        <f>J2</f>
        <v>5000</v>
      </c>
      <c r="W23" s="233">
        <f>J2</f>
        <v>5000</v>
      </c>
      <c r="X23" s="233">
        <f>SUM(L23:W23)</f>
        <v>60000</v>
      </c>
      <c r="Y23" s="232">
        <f t="shared" si="7"/>
        <v>5000</v>
      </c>
      <c r="Z23" s="232">
        <f t="shared" si="8"/>
        <v>5000</v>
      </c>
      <c r="AA23" s="232">
        <f t="shared" si="9"/>
        <v>5000</v>
      </c>
      <c r="AB23" s="232">
        <f t="shared" si="10"/>
        <v>5000</v>
      </c>
      <c r="AC23" s="232">
        <f t="shared" si="11"/>
        <v>5000</v>
      </c>
      <c r="AD23" s="232">
        <f t="shared" si="12"/>
        <v>5000</v>
      </c>
      <c r="AE23" s="232">
        <f t="shared" si="13"/>
        <v>5000</v>
      </c>
      <c r="AF23" s="232">
        <f t="shared" si="14"/>
        <v>5000</v>
      </c>
      <c r="AG23" s="232">
        <f t="shared" si="15"/>
        <v>5000</v>
      </c>
      <c r="AH23" s="232">
        <f t="shared" si="16"/>
        <v>5000</v>
      </c>
      <c r="AI23" s="232">
        <f t="shared" si="17"/>
        <v>5000</v>
      </c>
      <c r="AJ23" s="232">
        <f t="shared" si="20"/>
        <v>5000</v>
      </c>
      <c r="AK23" s="238">
        <f>SUM(Y23:AJ23)</f>
        <v>60000</v>
      </c>
    </row>
    <row r="24" spans="1:37">
      <c r="A24" s="237" t="s">
        <v>104</v>
      </c>
      <c r="B24" s="233">
        <v>1000</v>
      </c>
      <c r="C24" s="233">
        <v>1000</v>
      </c>
      <c r="D24" s="233">
        <v>1000</v>
      </c>
      <c r="E24" s="233">
        <v>1000</v>
      </c>
      <c r="F24" s="233">
        <v>1000</v>
      </c>
      <c r="G24" s="233">
        <v>1000</v>
      </c>
      <c r="H24" s="233">
        <v>1000</v>
      </c>
      <c r="I24" s="233">
        <v>1000</v>
      </c>
      <c r="J24" s="233">
        <v>1000</v>
      </c>
      <c r="K24" s="233">
        <f t="shared" si="6"/>
        <v>9000</v>
      </c>
      <c r="L24" s="233">
        <v>0</v>
      </c>
      <c r="M24" s="233">
        <v>0</v>
      </c>
      <c r="N24" s="233">
        <v>0</v>
      </c>
      <c r="O24" s="233">
        <v>0</v>
      </c>
      <c r="P24" s="233">
        <v>0</v>
      </c>
      <c r="Q24" s="233">
        <v>0</v>
      </c>
      <c r="R24" s="233">
        <v>0</v>
      </c>
      <c r="S24" s="233">
        <v>0</v>
      </c>
      <c r="T24" s="233">
        <v>0</v>
      </c>
      <c r="U24" s="233">
        <v>0</v>
      </c>
      <c r="V24" s="233">
        <v>0</v>
      </c>
      <c r="W24" s="233">
        <v>0</v>
      </c>
      <c r="X24" s="233">
        <v>0</v>
      </c>
      <c r="Y24" s="232">
        <f t="shared" si="7"/>
        <v>0</v>
      </c>
      <c r="Z24" s="232">
        <f t="shared" si="8"/>
        <v>0</v>
      </c>
      <c r="AA24" s="232">
        <f t="shared" si="9"/>
        <v>0</v>
      </c>
      <c r="AB24" s="232">
        <f t="shared" si="10"/>
        <v>0</v>
      </c>
      <c r="AC24" s="232">
        <f t="shared" si="11"/>
        <v>0</v>
      </c>
      <c r="AD24" s="232">
        <f t="shared" si="12"/>
        <v>0</v>
      </c>
      <c r="AE24" s="232">
        <f t="shared" si="13"/>
        <v>0</v>
      </c>
      <c r="AF24" s="232">
        <f t="shared" si="14"/>
        <v>0</v>
      </c>
      <c r="AG24" s="232">
        <f t="shared" si="15"/>
        <v>0</v>
      </c>
      <c r="AH24" s="232">
        <f t="shared" si="16"/>
        <v>0</v>
      </c>
      <c r="AI24" s="232">
        <f t="shared" si="17"/>
        <v>0</v>
      </c>
      <c r="AJ24" s="232">
        <f t="shared" si="20"/>
        <v>0</v>
      </c>
      <c r="AK24" s="238">
        <v>0</v>
      </c>
    </row>
    <row r="25" spans="1:37">
      <c r="A25" s="237" t="s">
        <v>101</v>
      </c>
      <c r="B25" s="233">
        <v>5000</v>
      </c>
      <c r="C25" s="233">
        <v>5000</v>
      </c>
      <c r="D25" s="233">
        <v>5000</v>
      </c>
      <c r="E25" s="233">
        <v>5000</v>
      </c>
      <c r="F25" s="233">
        <v>5000</v>
      </c>
      <c r="G25" s="233">
        <v>5000</v>
      </c>
      <c r="H25" s="233">
        <v>5000</v>
      </c>
      <c r="I25" s="233">
        <v>5000</v>
      </c>
      <c r="J25" s="233">
        <v>5000</v>
      </c>
      <c r="K25" s="233">
        <f t="shared" si="6"/>
        <v>45000</v>
      </c>
      <c r="L25" s="233">
        <v>5000</v>
      </c>
      <c r="M25" s="233">
        <v>5000</v>
      </c>
      <c r="N25" s="233">
        <v>5000</v>
      </c>
      <c r="O25" s="233">
        <v>5000</v>
      </c>
      <c r="P25" s="233">
        <v>5000</v>
      </c>
      <c r="Q25" s="233">
        <v>5000</v>
      </c>
      <c r="R25" s="233">
        <v>5000</v>
      </c>
      <c r="S25" s="233">
        <v>5000</v>
      </c>
      <c r="T25" s="233">
        <v>5000</v>
      </c>
      <c r="U25" s="233">
        <v>5000</v>
      </c>
      <c r="V25" s="233">
        <v>5000</v>
      </c>
      <c r="W25" s="233">
        <v>5000</v>
      </c>
      <c r="X25" s="233">
        <f>SUM(L25:W25)</f>
        <v>60000</v>
      </c>
      <c r="Y25" s="232">
        <f t="shared" si="7"/>
        <v>5000</v>
      </c>
      <c r="Z25" s="232">
        <f t="shared" si="8"/>
        <v>5000</v>
      </c>
      <c r="AA25" s="232">
        <f t="shared" si="9"/>
        <v>5000</v>
      </c>
      <c r="AB25" s="232">
        <f t="shared" si="10"/>
        <v>5000</v>
      </c>
      <c r="AC25" s="232">
        <f t="shared" si="11"/>
        <v>5000</v>
      </c>
      <c r="AD25" s="232">
        <f t="shared" si="12"/>
        <v>5000</v>
      </c>
      <c r="AE25" s="232">
        <f t="shared" si="13"/>
        <v>5000</v>
      </c>
      <c r="AF25" s="232">
        <f t="shared" si="14"/>
        <v>5000</v>
      </c>
      <c r="AG25" s="232">
        <f t="shared" si="15"/>
        <v>5000</v>
      </c>
      <c r="AH25" s="232">
        <f t="shared" si="16"/>
        <v>5000</v>
      </c>
      <c r="AI25" s="232">
        <f t="shared" si="17"/>
        <v>5000</v>
      </c>
      <c r="AJ25" s="232">
        <f t="shared" si="20"/>
        <v>5000</v>
      </c>
      <c r="AK25" s="238">
        <f>SUM(Y25:AJ25)</f>
        <v>60000</v>
      </c>
    </row>
    <row r="26" spans="1:37" ht="15.75" thickBot="1">
      <c r="A26" s="228" t="s">
        <v>105</v>
      </c>
      <c r="B26" s="229">
        <f t="shared" ref="B26:R26" si="21">B18+B22+B23+B24+B25</f>
        <v>16827.8</v>
      </c>
      <c r="C26" s="230">
        <f t="shared" si="21"/>
        <v>13633.45</v>
      </c>
      <c r="D26" s="230">
        <f t="shared" si="21"/>
        <v>12917</v>
      </c>
      <c r="E26" s="230">
        <f t="shared" si="21"/>
        <v>18889.5</v>
      </c>
      <c r="F26" s="230">
        <f t="shared" si="21"/>
        <v>19800.900000000001</v>
      </c>
      <c r="G26" s="230">
        <f t="shared" si="21"/>
        <v>27154.400000000001</v>
      </c>
      <c r="H26" s="230">
        <f t="shared" si="21"/>
        <v>47510.560000000005</v>
      </c>
      <c r="I26" s="230">
        <f t="shared" si="21"/>
        <v>27306.799999999999</v>
      </c>
      <c r="J26" s="230">
        <f t="shared" si="21"/>
        <v>34599.06</v>
      </c>
      <c r="K26" s="231">
        <f t="shared" si="21"/>
        <v>218639.47</v>
      </c>
      <c r="L26" s="229">
        <f t="shared" si="21"/>
        <v>25179.460000000003</v>
      </c>
      <c r="M26" s="230">
        <f t="shared" si="21"/>
        <v>25004.080000000002</v>
      </c>
      <c r="N26" s="230">
        <f t="shared" si="21"/>
        <v>15211.41</v>
      </c>
      <c r="O26" s="230">
        <f t="shared" si="21"/>
        <v>16646.8</v>
      </c>
      <c r="P26" s="230">
        <f t="shared" si="21"/>
        <v>23374.95</v>
      </c>
      <c r="Q26" s="230">
        <f t="shared" si="21"/>
        <v>19372</v>
      </c>
      <c r="R26" s="230">
        <f t="shared" si="21"/>
        <v>30171.699999999997</v>
      </c>
      <c r="S26" s="230">
        <f t="shared" ref="S26:AE26" si="22">S18+S22+S23+S24+S25</f>
        <v>25744.9</v>
      </c>
      <c r="T26" s="230">
        <f t="shared" si="22"/>
        <v>26276.799999999999</v>
      </c>
      <c r="U26" s="230">
        <f t="shared" si="22"/>
        <v>46510.560000000005</v>
      </c>
      <c r="V26" s="230">
        <f t="shared" si="22"/>
        <v>26306.799999999999</v>
      </c>
      <c r="W26" s="230">
        <f t="shared" si="22"/>
        <v>33599.06</v>
      </c>
      <c r="X26" s="231">
        <f t="shared" si="22"/>
        <v>313398.52</v>
      </c>
      <c r="Y26" s="229">
        <f t="shared" si="22"/>
        <v>25179.460000000003</v>
      </c>
      <c r="Z26" s="230">
        <f t="shared" si="22"/>
        <v>25004.080000000002</v>
      </c>
      <c r="AA26" s="230">
        <f t="shared" si="22"/>
        <v>15211.41</v>
      </c>
      <c r="AB26" s="230">
        <f t="shared" si="22"/>
        <v>16646.8</v>
      </c>
      <c r="AC26" s="230">
        <f t="shared" si="22"/>
        <v>23374.95</v>
      </c>
      <c r="AD26" s="230">
        <f t="shared" si="22"/>
        <v>19372</v>
      </c>
      <c r="AE26" s="230">
        <f t="shared" si="22"/>
        <v>30171.699999999997</v>
      </c>
      <c r="AF26" s="230">
        <f t="shared" ref="AF26:AK26" si="23">AF18+AF22+AF23+AF24+AF25</f>
        <v>25744.9</v>
      </c>
      <c r="AG26" s="230">
        <f t="shared" si="23"/>
        <v>26276.799999999999</v>
      </c>
      <c r="AH26" s="230">
        <f t="shared" si="23"/>
        <v>46510.560000000005</v>
      </c>
      <c r="AI26" s="230">
        <f t="shared" si="23"/>
        <v>26306.799999999999</v>
      </c>
      <c r="AJ26" s="230">
        <f t="shared" si="23"/>
        <v>33599.06</v>
      </c>
      <c r="AK26" s="231">
        <f t="shared" si="23"/>
        <v>313398.52</v>
      </c>
    </row>
  </sheetData>
  <mergeCells count="3">
    <mergeCell ref="B16:J16"/>
    <mergeCell ref="L16:W16"/>
    <mergeCell ref="Y16:AJ16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K102"/>
  <sheetViews>
    <sheetView tabSelected="1" topLeftCell="A64" zoomScale="85" zoomScaleNormal="85" workbookViewId="0">
      <selection activeCell="A75" sqref="A75:D77"/>
    </sheetView>
  </sheetViews>
  <sheetFormatPr defaultRowHeight="15"/>
  <cols>
    <col min="1" max="1" width="39.42578125" customWidth="1"/>
    <col min="2" max="2" width="8.5703125" customWidth="1"/>
    <col min="3" max="3" width="9.42578125" customWidth="1"/>
    <col min="4" max="4" width="10.42578125" customWidth="1"/>
    <col min="7" max="7" width="10.140625" customWidth="1"/>
    <col min="8" max="8" width="11.7109375" customWidth="1"/>
  </cols>
  <sheetData>
    <row r="2" spans="1:14">
      <c r="A2" t="s">
        <v>106</v>
      </c>
    </row>
    <row r="4" spans="1:14">
      <c r="A4" s="88" t="s">
        <v>107</v>
      </c>
      <c r="B4" s="88"/>
      <c r="C4" s="88"/>
      <c r="D4" s="88"/>
    </row>
    <row r="5" spans="1:14">
      <c r="A5" s="88"/>
      <c r="B5" s="88"/>
      <c r="C5" s="88"/>
      <c r="D5" s="88"/>
      <c r="J5" t="s">
        <v>133</v>
      </c>
      <c r="M5">
        <v>0</v>
      </c>
    </row>
    <row r="6" spans="1:14">
      <c r="A6" s="88"/>
      <c r="B6" s="86" t="s">
        <v>109</v>
      </c>
      <c r="C6" s="86" t="s">
        <v>110</v>
      </c>
      <c r="D6" s="86" t="s">
        <v>111</v>
      </c>
      <c r="J6" t="s">
        <v>121</v>
      </c>
      <c r="M6" s="79">
        <v>0</v>
      </c>
    </row>
    <row r="7" spans="1:14">
      <c r="A7" s="88" t="s">
        <v>108</v>
      </c>
      <c r="B7" s="86">
        <v>0.14399999999999999</v>
      </c>
      <c r="C7" s="86">
        <v>6500</v>
      </c>
      <c r="D7" s="86">
        <f>B7*C7</f>
        <v>935.99999999999989</v>
      </c>
      <c r="J7" t="s">
        <v>126</v>
      </c>
      <c r="M7" s="79">
        <v>0</v>
      </c>
    </row>
    <row r="8" spans="1:14">
      <c r="A8" s="88" t="s">
        <v>112</v>
      </c>
      <c r="B8" s="86">
        <v>8</v>
      </c>
      <c r="C8" s="86">
        <v>30</v>
      </c>
      <c r="D8" s="86">
        <f>B8*C8</f>
        <v>240</v>
      </c>
    </row>
    <row r="9" spans="1:14">
      <c r="A9" s="88" t="s">
        <v>113</v>
      </c>
      <c r="B9" s="86">
        <v>3</v>
      </c>
      <c r="C9" s="86">
        <v>180</v>
      </c>
      <c r="D9" s="86">
        <f>B9*C9</f>
        <v>540</v>
      </c>
    </row>
    <row r="10" spans="1:14">
      <c r="A10" s="88" t="s">
        <v>114</v>
      </c>
      <c r="B10" s="86">
        <v>6</v>
      </c>
      <c r="C10" s="86">
        <v>36</v>
      </c>
      <c r="D10" s="86">
        <f>B10*C10</f>
        <v>216</v>
      </c>
    </row>
    <row r="11" spans="1:14">
      <c r="A11" s="88" t="s">
        <v>115</v>
      </c>
      <c r="B11" s="86">
        <v>12</v>
      </c>
      <c r="C11" s="86">
        <v>6</v>
      </c>
      <c r="D11" s="86">
        <f>B11*C11</f>
        <v>72</v>
      </c>
    </row>
    <row r="12" spans="1:14">
      <c r="A12" s="88"/>
      <c r="B12" s="86"/>
      <c r="C12" s="86"/>
      <c r="D12" s="86"/>
    </row>
    <row r="13" spans="1:14">
      <c r="A13" s="88" t="s">
        <v>117</v>
      </c>
      <c r="B13" s="86"/>
      <c r="C13" s="86"/>
      <c r="D13" s="86">
        <f>SUM(D7:D12)</f>
        <v>2004</v>
      </c>
      <c r="N13" s="207"/>
    </row>
    <row r="14" spans="1:14">
      <c r="A14" s="88" t="s">
        <v>118</v>
      </c>
      <c r="B14" s="86">
        <f>Лист1!C29</f>
        <v>50</v>
      </c>
      <c r="C14" s="86"/>
      <c r="D14" s="90">
        <f>B14*D13</f>
        <v>100200</v>
      </c>
    </row>
    <row r="15" spans="1:14">
      <c r="A15" s="88"/>
      <c r="B15" s="88"/>
      <c r="C15" s="88"/>
      <c r="D15" s="86"/>
    </row>
    <row r="16" spans="1:14" ht="15.75" thickBot="1">
      <c r="A16" s="88"/>
      <c r="B16" s="88"/>
      <c r="C16" s="88"/>
      <c r="D16" s="86"/>
    </row>
    <row r="17" spans="1:37">
      <c r="A17" s="88" t="s">
        <v>116</v>
      </c>
      <c r="B17" s="88"/>
      <c r="C17" s="88"/>
      <c r="D17" s="86">
        <v>20000</v>
      </c>
      <c r="G17" s="1" t="s">
        <v>153</v>
      </c>
      <c r="H17" s="2"/>
      <c r="I17" s="2"/>
      <c r="J17" s="2"/>
      <c r="K17" s="2"/>
      <c r="L17" s="3">
        <v>200000</v>
      </c>
    </row>
    <row r="18" spans="1:37">
      <c r="A18" s="88" t="s">
        <v>119</v>
      </c>
      <c r="B18" s="88"/>
      <c r="C18" s="88"/>
      <c r="D18" s="90">
        <f>D14+D17</f>
        <v>120200</v>
      </c>
      <c r="G18" s="4" t="s">
        <v>151</v>
      </c>
      <c r="H18" s="5"/>
      <c r="I18" s="5"/>
      <c r="J18" s="5"/>
      <c r="K18" s="5"/>
      <c r="L18" s="157">
        <f>B59+C59+D59+E59+F59+G59+H59</f>
        <v>-156733.60999999999</v>
      </c>
    </row>
    <row r="19" spans="1:37" ht="15.75" thickBot="1">
      <c r="D19" s="30"/>
      <c r="G19" s="7" t="s">
        <v>152</v>
      </c>
      <c r="H19" s="8"/>
      <c r="I19" s="8"/>
      <c r="J19" s="8"/>
      <c r="K19" s="8"/>
      <c r="L19" s="201">
        <f>L18-D18-L17</f>
        <v>-476933.61</v>
      </c>
    </row>
    <row r="20" spans="1:37">
      <c r="A20" s="78" t="s">
        <v>120</v>
      </c>
    </row>
    <row r="21" spans="1:37" ht="15.75" thickBot="1"/>
    <row r="22" spans="1:37">
      <c r="A22" s="56"/>
      <c r="B22" s="2"/>
      <c r="C22" s="2"/>
      <c r="D22" s="2"/>
      <c r="E22" s="2"/>
      <c r="F22" s="24" t="s">
        <v>190</v>
      </c>
      <c r="G22" s="2"/>
      <c r="H22" s="2"/>
      <c r="I22" s="2"/>
      <c r="J22" s="2"/>
      <c r="K22" s="41" t="s">
        <v>132</v>
      </c>
      <c r="L22" s="148"/>
      <c r="M22" s="148"/>
      <c r="N22" s="148"/>
      <c r="O22" s="148"/>
      <c r="P22" s="148"/>
      <c r="Q22" s="148"/>
      <c r="R22" s="149" t="s">
        <v>191</v>
      </c>
      <c r="S22" s="148"/>
      <c r="T22" s="148"/>
      <c r="U22" s="148"/>
      <c r="V22" s="148"/>
      <c r="W22" s="148"/>
      <c r="X22" s="41" t="s">
        <v>132</v>
      </c>
      <c r="Y22" s="148"/>
      <c r="Z22" s="148"/>
      <c r="AA22" s="148"/>
      <c r="AB22" s="148"/>
      <c r="AC22" s="148"/>
      <c r="AD22" s="148"/>
      <c r="AE22" s="149" t="s">
        <v>192</v>
      </c>
      <c r="AF22" s="148"/>
      <c r="AG22" s="148"/>
      <c r="AH22" s="148"/>
      <c r="AI22" s="148"/>
      <c r="AJ22" s="148"/>
      <c r="AK22" s="41" t="s">
        <v>132</v>
      </c>
    </row>
    <row r="23" spans="1:37" ht="15.75" thickBot="1">
      <c r="A23" s="239"/>
      <c r="B23" s="209" t="s">
        <v>14</v>
      </c>
      <c r="C23" s="86" t="s">
        <v>1</v>
      </c>
      <c r="D23" s="86" t="s">
        <v>4</v>
      </c>
      <c r="E23" s="86" t="s">
        <v>5</v>
      </c>
      <c r="F23" s="86" t="s">
        <v>7</v>
      </c>
      <c r="G23" s="86" t="s">
        <v>9</v>
      </c>
      <c r="H23" s="86" t="s">
        <v>26</v>
      </c>
      <c r="I23" s="86" t="s">
        <v>22</v>
      </c>
      <c r="J23" s="97" t="s">
        <v>36</v>
      </c>
      <c r="K23" s="110" t="str">
        <f>F22</f>
        <v>1 год</v>
      </c>
      <c r="L23" s="96" t="s">
        <v>23</v>
      </c>
      <c r="M23" s="86" t="s">
        <v>24</v>
      </c>
      <c r="N23" s="86" t="s">
        <v>13</v>
      </c>
      <c r="O23" s="86" t="s">
        <v>14</v>
      </c>
      <c r="P23" s="86" t="s">
        <v>1</v>
      </c>
      <c r="Q23" s="86" t="s">
        <v>4</v>
      </c>
      <c r="R23" s="86" t="s">
        <v>5</v>
      </c>
      <c r="S23" s="86" t="s">
        <v>7</v>
      </c>
      <c r="T23" s="86" t="s">
        <v>9</v>
      </c>
      <c r="U23" s="86" t="s">
        <v>26</v>
      </c>
      <c r="V23" s="86" t="s">
        <v>22</v>
      </c>
      <c r="W23" s="97" t="s">
        <v>36</v>
      </c>
      <c r="X23" s="110" t="str">
        <f>R22</f>
        <v>2 год</v>
      </c>
      <c r="Y23" s="96" t="s">
        <v>23</v>
      </c>
      <c r="Z23" s="86" t="s">
        <v>24</v>
      </c>
      <c r="AA23" s="86" t="s">
        <v>13</v>
      </c>
      <c r="AB23" s="86" t="s">
        <v>14</v>
      </c>
      <c r="AC23" s="86" t="s">
        <v>1</v>
      </c>
      <c r="AD23" s="86" t="s">
        <v>4</v>
      </c>
      <c r="AE23" s="86" t="s">
        <v>5</v>
      </c>
      <c r="AF23" s="86" t="s">
        <v>7</v>
      </c>
      <c r="AG23" s="86" t="s">
        <v>9</v>
      </c>
      <c r="AH23" s="86" t="s">
        <v>26</v>
      </c>
      <c r="AI23" s="86" t="s">
        <v>22</v>
      </c>
      <c r="AJ23" s="97" t="s">
        <v>36</v>
      </c>
      <c r="AK23" s="110" t="str">
        <f>AE22</f>
        <v>3 год</v>
      </c>
    </row>
    <row r="24" spans="1:37">
      <c r="A24" s="246" t="s">
        <v>123</v>
      </c>
      <c r="B24" s="87">
        <f t="shared" ref="B24:X24" si="0">B25+B26</f>
        <v>0</v>
      </c>
      <c r="C24" s="87">
        <f t="shared" si="0"/>
        <v>0</v>
      </c>
      <c r="D24" s="87">
        <f t="shared" si="0"/>
        <v>0</v>
      </c>
      <c r="E24" s="87">
        <f t="shared" si="0"/>
        <v>0</v>
      </c>
      <c r="F24" s="87">
        <f t="shared" si="0"/>
        <v>0</v>
      </c>
      <c r="G24" s="87">
        <f t="shared" si="0"/>
        <v>0</v>
      </c>
      <c r="H24" s="87">
        <f t="shared" si="0"/>
        <v>0</v>
      </c>
      <c r="I24" s="87">
        <f t="shared" si="0"/>
        <v>231000</v>
      </c>
      <c r="J24" s="98">
        <f t="shared" si="0"/>
        <v>0</v>
      </c>
      <c r="K24" s="111">
        <f t="shared" si="0"/>
        <v>231000</v>
      </c>
      <c r="L24" s="104">
        <f t="shared" si="0"/>
        <v>115500</v>
      </c>
      <c r="M24" s="87">
        <f t="shared" si="0"/>
        <v>115500</v>
      </c>
      <c r="N24" s="87">
        <f t="shared" si="0"/>
        <v>0</v>
      </c>
      <c r="O24" s="87">
        <f t="shared" si="0"/>
        <v>0</v>
      </c>
      <c r="P24" s="87">
        <f t="shared" si="0"/>
        <v>0</v>
      </c>
      <c r="Q24" s="87">
        <f t="shared" si="0"/>
        <v>0</v>
      </c>
      <c r="R24" s="87">
        <f t="shared" si="0"/>
        <v>0</v>
      </c>
      <c r="S24" s="87">
        <f t="shared" si="0"/>
        <v>231000</v>
      </c>
      <c r="T24" s="87">
        <f t="shared" si="0"/>
        <v>0</v>
      </c>
      <c r="U24" s="87">
        <f t="shared" si="0"/>
        <v>0</v>
      </c>
      <c r="V24" s="87">
        <f t="shared" si="0"/>
        <v>231000</v>
      </c>
      <c r="W24" s="98">
        <f t="shared" si="0"/>
        <v>0</v>
      </c>
      <c r="X24" s="111">
        <f t="shared" si="0"/>
        <v>693000</v>
      </c>
      <c r="Y24" s="104">
        <f>L24</f>
        <v>115500</v>
      </c>
      <c r="Z24" s="104">
        <f t="shared" ref="Z24:AJ24" si="1">M24</f>
        <v>115500</v>
      </c>
      <c r="AA24" s="104">
        <f t="shared" si="1"/>
        <v>0</v>
      </c>
      <c r="AB24" s="104">
        <f t="shared" si="1"/>
        <v>0</v>
      </c>
      <c r="AC24" s="104">
        <f t="shared" si="1"/>
        <v>0</v>
      </c>
      <c r="AD24" s="104">
        <f t="shared" si="1"/>
        <v>0</v>
      </c>
      <c r="AE24" s="104">
        <f t="shared" si="1"/>
        <v>0</v>
      </c>
      <c r="AF24" s="104">
        <f t="shared" si="1"/>
        <v>231000</v>
      </c>
      <c r="AG24" s="104">
        <f t="shared" si="1"/>
        <v>0</v>
      </c>
      <c r="AH24" s="104">
        <f t="shared" si="1"/>
        <v>0</v>
      </c>
      <c r="AI24" s="104">
        <f t="shared" si="1"/>
        <v>231000</v>
      </c>
      <c r="AJ24" s="104">
        <f t="shared" si="1"/>
        <v>0</v>
      </c>
      <c r="AK24" s="150">
        <f t="shared" ref="AK24:AK40" si="2">SUM(Y24:AJ24)</f>
        <v>693000</v>
      </c>
    </row>
    <row r="25" spans="1:37">
      <c r="A25" s="133" t="s">
        <v>130</v>
      </c>
      <c r="B25" s="86">
        <v>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97">
        <v>0</v>
      </c>
      <c r="K25" s="112">
        <v>0</v>
      </c>
      <c r="L25" s="9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97">
        <v>0</v>
      </c>
      <c r="X25" s="112">
        <v>0</v>
      </c>
      <c r="Y25" s="120">
        <f t="shared" ref="Y25:Y40" si="3">L25</f>
        <v>0</v>
      </c>
      <c r="Z25" s="120">
        <f t="shared" ref="Z25:Z40" si="4">M25</f>
        <v>0</v>
      </c>
      <c r="AA25" s="120">
        <f t="shared" ref="AA25:AA40" si="5">N25</f>
        <v>0</v>
      </c>
      <c r="AB25" s="120">
        <f t="shared" ref="AB25:AB40" si="6">O25</f>
        <v>0</v>
      </c>
      <c r="AC25" s="120">
        <f t="shared" ref="AC25:AC40" si="7">P25</f>
        <v>0</v>
      </c>
      <c r="AD25" s="120">
        <f t="shared" ref="AD25:AD40" si="8">Q25</f>
        <v>0</v>
      </c>
      <c r="AE25" s="120">
        <f t="shared" ref="AE25:AE40" si="9">R25</f>
        <v>0</v>
      </c>
      <c r="AF25" s="120">
        <f t="shared" ref="AF25:AF40" si="10">S25</f>
        <v>0</v>
      </c>
      <c r="AG25" s="120">
        <f t="shared" ref="AG25:AG40" si="11">T25</f>
        <v>0</v>
      </c>
      <c r="AH25" s="120">
        <f t="shared" ref="AH25:AH40" si="12">U25</f>
        <v>0</v>
      </c>
      <c r="AI25" s="120">
        <f t="shared" ref="AI25:AI40" si="13">V25</f>
        <v>0</v>
      </c>
      <c r="AJ25" s="120">
        <f t="shared" ref="AJ25:AJ40" si="14">W25</f>
        <v>0</v>
      </c>
      <c r="AK25" s="151">
        <f t="shared" si="2"/>
        <v>0</v>
      </c>
    </row>
    <row r="26" spans="1:37">
      <c r="A26" s="133" t="s">
        <v>131</v>
      </c>
      <c r="B26" s="86">
        <f>Лист2!B12</f>
        <v>0</v>
      </c>
      <c r="C26" s="86">
        <f>Лист2!C12</f>
        <v>0</v>
      </c>
      <c r="D26" s="86">
        <f>Лист2!D12</f>
        <v>0</v>
      </c>
      <c r="E26" s="86">
        <f>Лист2!E12</f>
        <v>0</v>
      </c>
      <c r="F26" s="86">
        <f>Лист2!F12</f>
        <v>0</v>
      </c>
      <c r="G26" s="86">
        <f>Лист2!G12</f>
        <v>0</v>
      </c>
      <c r="H26" s="86">
        <f>Лист2!H12</f>
        <v>0</v>
      </c>
      <c r="I26" s="86">
        <f>Лист2!I12</f>
        <v>231000</v>
      </c>
      <c r="J26" s="97">
        <f>Лист2!J12</f>
        <v>0</v>
      </c>
      <c r="K26" s="112">
        <f>Лист2!K12</f>
        <v>231000</v>
      </c>
      <c r="L26" s="96">
        <f>Лист2!L12</f>
        <v>115500</v>
      </c>
      <c r="M26" s="86">
        <f>Лист2!M12</f>
        <v>115500</v>
      </c>
      <c r="N26" s="86">
        <f>Лист2!N12</f>
        <v>0</v>
      </c>
      <c r="O26" s="86">
        <f>Лист2!O12</f>
        <v>0</v>
      </c>
      <c r="P26" s="86">
        <f>Лист2!P12</f>
        <v>0</v>
      </c>
      <c r="Q26" s="86">
        <f>Лист2!Q12</f>
        <v>0</v>
      </c>
      <c r="R26" s="86">
        <f>Лист2!R12</f>
        <v>0</v>
      </c>
      <c r="S26" s="86">
        <f>Лист2!S12</f>
        <v>231000</v>
      </c>
      <c r="T26" s="86">
        <f>Лист2!T12</f>
        <v>0</v>
      </c>
      <c r="U26" s="86">
        <f>Лист2!U12</f>
        <v>0</v>
      </c>
      <c r="V26" s="86">
        <f>Лист2!V12</f>
        <v>231000</v>
      </c>
      <c r="W26" s="97">
        <f>Лист2!W12</f>
        <v>0</v>
      </c>
      <c r="X26" s="112">
        <f>Лист2!X12</f>
        <v>693000</v>
      </c>
      <c r="Y26" s="120">
        <f t="shared" si="3"/>
        <v>115500</v>
      </c>
      <c r="Z26" s="120">
        <f t="shared" si="4"/>
        <v>115500</v>
      </c>
      <c r="AA26" s="120">
        <f t="shared" si="5"/>
        <v>0</v>
      </c>
      <c r="AB26" s="120">
        <f t="shared" si="6"/>
        <v>0</v>
      </c>
      <c r="AC26" s="120">
        <f t="shared" si="7"/>
        <v>0</v>
      </c>
      <c r="AD26" s="120">
        <f t="shared" si="8"/>
        <v>0</v>
      </c>
      <c r="AE26" s="120">
        <f t="shared" si="9"/>
        <v>0</v>
      </c>
      <c r="AF26" s="120">
        <f t="shared" si="10"/>
        <v>231000</v>
      </c>
      <c r="AG26" s="120">
        <f t="shared" si="11"/>
        <v>0</v>
      </c>
      <c r="AH26" s="120">
        <f t="shared" si="12"/>
        <v>0</v>
      </c>
      <c r="AI26" s="120">
        <f t="shared" si="13"/>
        <v>231000</v>
      </c>
      <c r="AJ26" s="120">
        <f t="shared" si="14"/>
        <v>0</v>
      </c>
      <c r="AK26" s="151">
        <f t="shared" si="2"/>
        <v>693000</v>
      </c>
    </row>
    <row r="27" spans="1:37">
      <c r="A27" s="138" t="s">
        <v>124</v>
      </c>
      <c r="B27" s="89">
        <f t="shared" ref="B27:X27" si="15">B28+B29</f>
        <v>16827.8</v>
      </c>
      <c r="C27" s="89">
        <f t="shared" si="15"/>
        <v>13633.45</v>
      </c>
      <c r="D27" s="89">
        <f t="shared" si="15"/>
        <v>12917</v>
      </c>
      <c r="E27" s="89">
        <f t="shared" si="15"/>
        <v>18889.5</v>
      </c>
      <c r="F27" s="89">
        <f t="shared" si="15"/>
        <v>19800.900000000001</v>
      </c>
      <c r="G27" s="89">
        <f t="shared" si="15"/>
        <v>27154.400000000001</v>
      </c>
      <c r="H27" s="89">
        <f t="shared" si="15"/>
        <v>47510.560000000005</v>
      </c>
      <c r="I27" s="89">
        <f t="shared" si="15"/>
        <v>27306.799999999999</v>
      </c>
      <c r="J27" s="99">
        <f t="shared" si="15"/>
        <v>34599.06</v>
      </c>
      <c r="K27" s="113">
        <f t="shared" si="15"/>
        <v>218639.47</v>
      </c>
      <c r="L27" s="105">
        <f t="shared" si="15"/>
        <v>25179.460000000003</v>
      </c>
      <c r="M27" s="89">
        <f t="shared" si="15"/>
        <v>25004.080000000002</v>
      </c>
      <c r="N27" s="89">
        <f t="shared" si="15"/>
        <v>15211.41</v>
      </c>
      <c r="O27" s="89">
        <f t="shared" si="15"/>
        <v>16646.8</v>
      </c>
      <c r="P27" s="89">
        <f t="shared" si="15"/>
        <v>23374.95</v>
      </c>
      <c r="Q27" s="89">
        <f t="shared" si="15"/>
        <v>19372</v>
      </c>
      <c r="R27" s="89">
        <f t="shared" si="15"/>
        <v>30171.699999999997</v>
      </c>
      <c r="S27" s="89">
        <f t="shared" si="15"/>
        <v>25744.9</v>
      </c>
      <c r="T27" s="89">
        <f t="shared" si="15"/>
        <v>26276.799999999999</v>
      </c>
      <c r="U27" s="89">
        <f t="shared" si="15"/>
        <v>46510.560000000005</v>
      </c>
      <c r="V27" s="89">
        <f t="shared" si="15"/>
        <v>26306.799999999999</v>
      </c>
      <c r="W27" s="99">
        <f t="shared" si="15"/>
        <v>33599.06</v>
      </c>
      <c r="X27" s="113">
        <f t="shared" si="15"/>
        <v>313398.52</v>
      </c>
      <c r="Y27" s="105">
        <f t="shared" si="3"/>
        <v>25179.460000000003</v>
      </c>
      <c r="Z27" s="105">
        <f t="shared" si="4"/>
        <v>25004.080000000002</v>
      </c>
      <c r="AA27" s="105">
        <f t="shared" si="5"/>
        <v>15211.41</v>
      </c>
      <c r="AB27" s="105">
        <f t="shared" si="6"/>
        <v>16646.8</v>
      </c>
      <c r="AC27" s="105">
        <f t="shared" si="7"/>
        <v>23374.95</v>
      </c>
      <c r="AD27" s="104">
        <f t="shared" si="8"/>
        <v>19372</v>
      </c>
      <c r="AE27" s="105">
        <f t="shared" si="9"/>
        <v>30171.699999999997</v>
      </c>
      <c r="AF27" s="105">
        <f t="shared" si="10"/>
        <v>25744.9</v>
      </c>
      <c r="AG27" s="105">
        <f t="shared" si="11"/>
        <v>26276.799999999999</v>
      </c>
      <c r="AH27" s="105">
        <f t="shared" si="12"/>
        <v>46510.560000000005</v>
      </c>
      <c r="AI27" s="105">
        <f t="shared" si="13"/>
        <v>26306.799999999999</v>
      </c>
      <c r="AJ27" s="105">
        <f t="shared" si="14"/>
        <v>33599.06</v>
      </c>
      <c r="AK27" s="162">
        <f t="shared" si="2"/>
        <v>313398.52</v>
      </c>
    </row>
    <row r="28" spans="1:37">
      <c r="A28" s="133" t="s">
        <v>130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0</v>
      </c>
      <c r="I28" s="86">
        <v>0</v>
      </c>
      <c r="J28" s="97">
        <v>0</v>
      </c>
      <c r="K28" s="112">
        <v>0</v>
      </c>
      <c r="L28" s="9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0</v>
      </c>
      <c r="T28" s="86">
        <v>0</v>
      </c>
      <c r="U28" s="86">
        <v>0</v>
      </c>
      <c r="V28" s="86">
        <v>0</v>
      </c>
      <c r="W28" s="97">
        <v>0</v>
      </c>
      <c r="X28" s="112">
        <v>0</v>
      </c>
      <c r="Y28" s="120">
        <f t="shared" si="3"/>
        <v>0</v>
      </c>
      <c r="Z28" s="120">
        <f t="shared" si="4"/>
        <v>0</v>
      </c>
      <c r="AA28" s="120">
        <f t="shared" si="5"/>
        <v>0</v>
      </c>
      <c r="AB28" s="120">
        <f t="shared" si="6"/>
        <v>0</v>
      </c>
      <c r="AC28" s="120">
        <f t="shared" si="7"/>
        <v>0</v>
      </c>
      <c r="AD28" s="120">
        <f t="shared" si="8"/>
        <v>0</v>
      </c>
      <c r="AE28" s="120">
        <f t="shared" si="9"/>
        <v>0</v>
      </c>
      <c r="AF28" s="120">
        <f t="shared" si="10"/>
        <v>0</v>
      </c>
      <c r="AG28" s="120">
        <f t="shared" si="11"/>
        <v>0</v>
      </c>
      <c r="AH28" s="120">
        <f t="shared" si="12"/>
        <v>0</v>
      </c>
      <c r="AI28" s="120">
        <f t="shared" si="13"/>
        <v>0</v>
      </c>
      <c r="AJ28" s="120">
        <f t="shared" si="14"/>
        <v>0</v>
      </c>
      <c r="AK28" s="151">
        <f t="shared" si="2"/>
        <v>0</v>
      </c>
    </row>
    <row r="29" spans="1:37">
      <c r="A29" s="133" t="s">
        <v>131</v>
      </c>
      <c r="B29" s="90">
        <f>Лист2!B26</f>
        <v>16827.8</v>
      </c>
      <c r="C29" s="90">
        <f>Лист2!C26</f>
        <v>13633.45</v>
      </c>
      <c r="D29" s="90">
        <f>Лист2!D26</f>
        <v>12917</v>
      </c>
      <c r="E29" s="90">
        <f>Лист2!E26</f>
        <v>18889.5</v>
      </c>
      <c r="F29" s="90">
        <f>Лист2!F26</f>
        <v>19800.900000000001</v>
      </c>
      <c r="G29" s="90">
        <f>Лист2!G26</f>
        <v>27154.400000000001</v>
      </c>
      <c r="H29" s="90">
        <f>Лист2!H26</f>
        <v>47510.560000000005</v>
      </c>
      <c r="I29" s="90">
        <f>Лист2!I26</f>
        <v>27306.799999999999</v>
      </c>
      <c r="J29" s="100">
        <f>Лист2!J26</f>
        <v>34599.06</v>
      </c>
      <c r="K29" s="114">
        <f>Лист2!K26</f>
        <v>218639.47</v>
      </c>
      <c r="L29" s="106">
        <f>Лист2!L26</f>
        <v>25179.460000000003</v>
      </c>
      <c r="M29" s="90">
        <f>Лист2!M26</f>
        <v>25004.080000000002</v>
      </c>
      <c r="N29" s="90">
        <f>Лист2!N26</f>
        <v>15211.41</v>
      </c>
      <c r="O29" s="90">
        <f>Лист2!O26</f>
        <v>16646.8</v>
      </c>
      <c r="P29" s="90">
        <f>Лист2!P26</f>
        <v>23374.95</v>
      </c>
      <c r="Q29" s="90">
        <f>Лист2!Q26</f>
        <v>19372</v>
      </c>
      <c r="R29" s="90">
        <f>Лист2!R26</f>
        <v>30171.699999999997</v>
      </c>
      <c r="S29" s="90">
        <f>Лист2!S26</f>
        <v>25744.9</v>
      </c>
      <c r="T29" s="90">
        <f>Лист2!T26</f>
        <v>26276.799999999999</v>
      </c>
      <c r="U29" s="90">
        <f>Лист2!U26</f>
        <v>46510.560000000005</v>
      </c>
      <c r="V29" s="90">
        <f>Лист2!V26</f>
        <v>26306.799999999999</v>
      </c>
      <c r="W29" s="100">
        <f>Лист2!W26</f>
        <v>33599.06</v>
      </c>
      <c r="X29" s="114">
        <f>Лист2!X26</f>
        <v>313398.52</v>
      </c>
      <c r="Y29" s="161">
        <f t="shared" si="3"/>
        <v>25179.460000000003</v>
      </c>
      <c r="Z29" s="161">
        <f t="shared" si="4"/>
        <v>25004.080000000002</v>
      </c>
      <c r="AA29" s="161">
        <f t="shared" si="5"/>
        <v>15211.41</v>
      </c>
      <c r="AB29" s="161">
        <f t="shared" si="6"/>
        <v>16646.8</v>
      </c>
      <c r="AC29" s="161">
        <f t="shared" si="7"/>
        <v>23374.95</v>
      </c>
      <c r="AD29" s="120">
        <f t="shared" si="8"/>
        <v>19372</v>
      </c>
      <c r="AE29" s="161">
        <f t="shared" si="9"/>
        <v>30171.699999999997</v>
      </c>
      <c r="AF29" s="161">
        <f t="shared" si="10"/>
        <v>25744.9</v>
      </c>
      <c r="AG29" s="161">
        <f t="shared" si="11"/>
        <v>26276.799999999999</v>
      </c>
      <c r="AH29" s="161">
        <f t="shared" si="12"/>
        <v>46510.560000000005</v>
      </c>
      <c r="AI29" s="161">
        <f t="shared" si="13"/>
        <v>26306.799999999999</v>
      </c>
      <c r="AJ29" s="161">
        <f t="shared" si="14"/>
        <v>33599.06</v>
      </c>
      <c r="AK29" s="163">
        <f t="shared" si="2"/>
        <v>313398.52</v>
      </c>
    </row>
    <row r="30" spans="1:37">
      <c r="A30" s="138" t="s">
        <v>122</v>
      </c>
      <c r="B30" s="89">
        <f t="shared" ref="B30:X30" si="16">B24-B27</f>
        <v>-16827.8</v>
      </c>
      <c r="C30" s="89">
        <f t="shared" si="16"/>
        <v>-13633.45</v>
      </c>
      <c r="D30" s="89">
        <f t="shared" si="16"/>
        <v>-12917</v>
      </c>
      <c r="E30" s="89">
        <f t="shared" si="16"/>
        <v>-18889.5</v>
      </c>
      <c r="F30" s="89">
        <f t="shared" si="16"/>
        <v>-19800.900000000001</v>
      </c>
      <c r="G30" s="89">
        <f t="shared" si="16"/>
        <v>-27154.400000000001</v>
      </c>
      <c r="H30" s="89">
        <f t="shared" si="16"/>
        <v>-47510.560000000005</v>
      </c>
      <c r="I30" s="89">
        <f t="shared" si="16"/>
        <v>203693.2</v>
      </c>
      <c r="J30" s="99">
        <f t="shared" si="16"/>
        <v>-34599.06</v>
      </c>
      <c r="K30" s="113">
        <f t="shared" si="16"/>
        <v>12360.529999999999</v>
      </c>
      <c r="L30" s="105">
        <f t="shared" si="16"/>
        <v>90320.54</v>
      </c>
      <c r="M30" s="89">
        <f t="shared" si="16"/>
        <v>90495.92</v>
      </c>
      <c r="N30" s="89">
        <f t="shared" si="16"/>
        <v>-15211.41</v>
      </c>
      <c r="O30" s="89">
        <f t="shared" si="16"/>
        <v>-16646.8</v>
      </c>
      <c r="P30" s="89">
        <f t="shared" si="16"/>
        <v>-23374.95</v>
      </c>
      <c r="Q30" s="89">
        <f t="shared" si="16"/>
        <v>-19372</v>
      </c>
      <c r="R30" s="89">
        <f t="shared" si="16"/>
        <v>-30171.699999999997</v>
      </c>
      <c r="S30" s="89">
        <f t="shared" si="16"/>
        <v>205255.1</v>
      </c>
      <c r="T30" s="89">
        <f t="shared" si="16"/>
        <v>-26276.799999999999</v>
      </c>
      <c r="U30" s="89">
        <f t="shared" si="16"/>
        <v>-46510.560000000005</v>
      </c>
      <c r="V30" s="89">
        <f t="shared" si="16"/>
        <v>204693.2</v>
      </c>
      <c r="W30" s="99">
        <f t="shared" si="16"/>
        <v>-33599.06</v>
      </c>
      <c r="X30" s="113">
        <f t="shared" si="16"/>
        <v>379601.48</v>
      </c>
      <c r="Y30" s="105">
        <f t="shared" si="3"/>
        <v>90320.54</v>
      </c>
      <c r="Z30" s="105">
        <f t="shared" si="4"/>
        <v>90495.92</v>
      </c>
      <c r="AA30" s="105">
        <f t="shared" si="5"/>
        <v>-15211.41</v>
      </c>
      <c r="AB30" s="105">
        <f t="shared" si="6"/>
        <v>-16646.8</v>
      </c>
      <c r="AC30" s="104">
        <f t="shared" si="7"/>
        <v>-23374.95</v>
      </c>
      <c r="AD30" s="104">
        <f t="shared" si="8"/>
        <v>-19372</v>
      </c>
      <c r="AE30" s="105">
        <f t="shared" si="9"/>
        <v>-30171.699999999997</v>
      </c>
      <c r="AF30" s="105">
        <f t="shared" si="10"/>
        <v>205255.1</v>
      </c>
      <c r="AG30" s="105">
        <f t="shared" si="11"/>
        <v>-26276.799999999999</v>
      </c>
      <c r="AH30" s="105">
        <f t="shared" si="12"/>
        <v>-46510.560000000005</v>
      </c>
      <c r="AI30" s="105">
        <f t="shared" si="13"/>
        <v>204693.2</v>
      </c>
      <c r="AJ30" s="105">
        <f t="shared" si="14"/>
        <v>-33599.06</v>
      </c>
      <c r="AK30" s="162">
        <f t="shared" si="2"/>
        <v>379601.48000000004</v>
      </c>
    </row>
    <row r="31" spans="1:37">
      <c r="A31" s="138" t="s">
        <v>121</v>
      </c>
      <c r="B31" s="91">
        <v>0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101">
        <v>0</v>
      </c>
      <c r="K31" s="115">
        <v>0</v>
      </c>
      <c r="L31" s="107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101">
        <v>0</v>
      </c>
      <c r="X31" s="115">
        <v>0</v>
      </c>
      <c r="Y31" s="104">
        <f t="shared" si="3"/>
        <v>0</v>
      </c>
      <c r="Z31" s="104">
        <f t="shared" si="4"/>
        <v>0</v>
      </c>
      <c r="AA31" s="104">
        <f t="shared" si="5"/>
        <v>0</v>
      </c>
      <c r="AB31" s="104">
        <f t="shared" si="6"/>
        <v>0</v>
      </c>
      <c r="AC31" s="104">
        <f t="shared" si="7"/>
        <v>0</v>
      </c>
      <c r="AD31" s="104">
        <f t="shared" si="8"/>
        <v>0</v>
      </c>
      <c r="AE31" s="104">
        <f t="shared" si="9"/>
        <v>0</v>
      </c>
      <c r="AF31" s="104">
        <f t="shared" si="10"/>
        <v>0</v>
      </c>
      <c r="AG31" s="104">
        <f t="shared" si="11"/>
        <v>0</v>
      </c>
      <c r="AH31" s="104">
        <f t="shared" si="12"/>
        <v>0</v>
      </c>
      <c r="AI31" s="104">
        <f t="shared" si="13"/>
        <v>0</v>
      </c>
      <c r="AJ31" s="104">
        <f t="shared" si="14"/>
        <v>0</v>
      </c>
      <c r="AK31" s="150">
        <f t="shared" si="2"/>
        <v>0</v>
      </c>
    </row>
    <row r="32" spans="1:37">
      <c r="A32" s="138" t="s">
        <v>125</v>
      </c>
      <c r="B32" s="87">
        <f t="shared" ref="B32:X32" si="17">B33+B34</f>
        <v>-16827.8</v>
      </c>
      <c r="C32" s="89">
        <f t="shared" si="17"/>
        <v>-13633.45</v>
      </c>
      <c r="D32" s="89">
        <f t="shared" si="17"/>
        <v>-12917</v>
      </c>
      <c r="E32" s="89">
        <f t="shared" si="17"/>
        <v>-18889.5</v>
      </c>
      <c r="F32" s="89">
        <f t="shared" si="17"/>
        <v>-19800.900000000001</v>
      </c>
      <c r="G32" s="89">
        <f t="shared" si="17"/>
        <v>-27154.400000000001</v>
      </c>
      <c r="H32" s="89">
        <f t="shared" si="17"/>
        <v>-47510.560000000005</v>
      </c>
      <c r="I32" s="89">
        <f t="shared" si="17"/>
        <v>203693.2</v>
      </c>
      <c r="J32" s="99">
        <f t="shared" si="17"/>
        <v>-34599.06</v>
      </c>
      <c r="K32" s="113">
        <f t="shared" si="17"/>
        <v>12360.529999999999</v>
      </c>
      <c r="L32" s="105">
        <f t="shared" si="17"/>
        <v>90320.54</v>
      </c>
      <c r="M32" s="89">
        <f t="shared" si="17"/>
        <v>90495.92</v>
      </c>
      <c r="N32" s="89">
        <f t="shared" si="17"/>
        <v>-15211.41</v>
      </c>
      <c r="O32" s="89">
        <f t="shared" si="17"/>
        <v>-16646.8</v>
      </c>
      <c r="P32" s="89">
        <f t="shared" si="17"/>
        <v>-23374.95</v>
      </c>
      <c r="Q32" s="89">
        <f t="shared" si="17"/>
        <v>-19372</v>
      </c>
      <c r="R32" s="89">
        <f t="shared" si="17"/>
        <v>-30171.699999999997</v>
      </c>
      <c r="S32" s="89">
        <f t="shared" si="17"/>
        <v>205255.1</v>
      </c>
      <c r="T32" s="89">
        <f t="shared" si="17"/>
        <v>-26276.799999999999</v>
      </c>
      <c r="U32" s="89">
        <f t="shared" si="17"/>
        <v>-46510.560000000005</v>
      </c>
      <c r="V32" s="89">
        <f t="shared" si="17"/>
        <v>204693.2</v>
      </c>
      <c r="W32" s="99">
        <f t="shared" si="17"/>
        <v>-33599.06</v>
      </c>
      <c r="X32" s="113">
        <f t="shared" si="17"/>
        <v>379601.48</v>
      </c>
      <c r="Y32" s="105">
        <f t="shared" si="3"/>
        <v>90320.54</v>
      </c>
      <c r="Z32" s="105">
        <f t="shared" si="4"/>
        <v>90495.92</v>
      </c>
      <c r="AA32" s="105">
        <f t="shared" si="5"/>
        <v>-15211.41</v>
      </c>
      <c r="AB32" s="105">
        <f t="shared" si="6"/>
        <v>-16646.8</v>
      </c>
      <c r="AC32" s="104">
        <f t="shared" si="7"/>
        <v>-23374.95</v>
      </c>
      <c r="AD32" s="104">
        <f t="shared" si="8"/>
        <v>-19372</v>
      </c>
      <c r="AE32" s="105">
        <f t="shared" si="9"/>
        <v>-30171.699999999997</v>
      </c>
      <c r="AF32" s="105">
        <f t="shared" si="10"/>
        <v>205255.1</v>
      </c>
      <c r="AG32" s="105">
        <f t="shared" si="11"/>
        <v>-26276.799999999999</v>
      </c>
      <c r="AH32" s="105">
        <f t="shared" si="12"/>
        <v>-46510.560000000005</v>
      </c>
      <c r="AI32" s="105">
        <f t="shared" si="13"/>
        <v>204693.2</v>
      </c>
      <c r="AJ32" s="105">
        <f t="shared" si="14"/>
        <v>-33599.06</v>
      </c>
      <c r="AK32" s="162">
        <f t="shared" si="2"/>
        <v>379601.48000000004</v>
      </c>
    </row>
    <row r="33" spans="1:37">
      <c r="A33" s="133" t="s">
        <v>130</v>
      </c>
      <c r="B33" s="86">
        <f t="shared" ref="B33:X33" si="18">B25-B28</f>
        <v>0</v>
      </c>
      <c r="C33" s="86">
        <f t="shared" si="18"/>
        <v>0</v>
      </c>
      <c r="D33" s="86">
        <f t="shared" si="18"/>
        <v>0</v>
      </c>
      <c r="E33" s="86">
        <f t="shared" si="18"/>
        <v>0</v>
      </c>
      <c r="F33" s="86">
        <f t="shared" si="18"/>
        <v>0</v>
      </c>
      <c r="G33" s="86">
        <f t="shared" si="18"/>
        <v>0</v>
      </c>
      <c r="H33" s="86">
        <f t="shared" si="18"/>
        <v>0</v>
      </c>
      <c r="I33" s="86">
        <f t="shared" si="18"/>
        <v>0</v>
      </c>
      <c r="J33" s="97">
        <f t="shared" si="18"/>
        <v>0</v>
      </c>
      <c r="K33" s="112">
        <f t="shared" si="18"/>
        <v>0</v>
      </c>
      <c r="L33" s="96">
        <f t="shared" si="18"/>
        <v>0</v>
      </c>
      <c r="M33" s="86">
        <f t="shared" si="18"/>
        <v>0</v>
      </c>
      <c r="N33" s="86">
        <f t="shared" si="18"/>
        <v>0</v>
      </c>
      <c r="O33" s="86">
        <f t="shared" si="18"/>
        <v>0</v>
      </c>
      <c r="P33" s="86">
        <f t="shared" si="18"/>
        <v>0</v>
      </c>
      <c r="Q33" s="86">
        <f t="shared" si="18"/>
        <v>0</v>
      </c>
      <c r="R33" s="86">
        <f t="shared" si="18"/>
        <v>0</v>
      </c>
      <c r="S33" s="86">
        <f t="shared" si="18"/>
        <v>0</v>
      </c>
      <c r="T33" s="86">
        <f t="shared" si="18"/>
        <v>0</v>
      </c>
      <c r="U33" s="86">
        <f t="shared" si="18"/>
        <v>0</v>
      </c>
      <c r="V33" s="86">
        <f t="shared" si="18"/>
        <v>0</v>
      </c>
      <c r="W33" s="97">
        <f t="shared" si="18"/>
        <v>0</v>
      </c>
      <c r="X33" s="112">
        <f t="shared" si="18"/>
        <v>0</v>
      </c>
      <c r="Y33" s="120">
        <f t="shared" si="3"/>
        <v>0</v>
      </c>
      <c r="Z33" s="120">
        <f t="shared" si="4"/>
        <v>0</v>
      </c>
      <c r="AA33" s="120">
        <f t="shared" si="5"/>
        <v>0</v>
      </c>
      <c r="AB33" s="120">
        <f t="shared" si="6"/>
        <v>0</v>
      </c>
      <c r="AC33" s="120">
        <f t="shared" si="7"/>
        <v>0</v>
      </c>
      <c r="AD33" s="120">
        <f t="shared" si="8"/>
        <v>0</v>
      </c>
      <c r="AE33" s="120">
        <f t="shared" si="9"/>
        <v>0</v>
      </c>
      <c r="AF33" s="120">
        <f t="shared" si="10"/>
        <v>0</v>
      </c>
      <c r="AG33" s="120">
        <f t="shared" si="11"/>
        <v>0</v>
      </c>
      <c r="AH33" s="120">
        <f t="shared" si="12"/>
        <v>0</v>
      </c>
      <c r="AI33" s="120">
        <f t="shared" si="13"/>
        <v>0</v>
      </c>
      <c r="AJ33" s="120">
        <f t="shared" si="14"/>
        <v>0</v>
      </c>
      <c r="AK33" s="151">
        <f t="shared" si="2"/>
        <v>0</v>
      </c>
    </row>
    <row r="34" spans="1:37">
      <c r="A34" s="133" t="s">
        <v>131</v>
      </c>
      <c r="B34" s="93">
        <f>B26-B29-B31</f>
        <v>-16827.8</v>
      </c>
      <c r="C34" s="90">
        <f>C26-C29-C33</f>
        <v>-13633.45</v>
      </c>
      <c r="D34" s="90">
        <f t="shared" ref="D34:X34" si="19">D26-D29-D31</f>
        <v>-12917</v>
      </c>
      <c r="E34" s="90">
        <f t="shared" si="19"/>
        <v>-18889.5</v>
      </c>
      <c r="F34" s="90">
        <f t="shared" si="19"/>
        <v>-19800.900000000001</v>
      </c>
      <c r="G34" s="90">
        <f t="shared" si="19"/>
        <v>-27154.400000000001</v>
      </c>
      <c r="H34" s="90">
        <f t="shared" si="19"/>
        <v>-47510.560000000005</v>
      </c>
      <c r="I34" s="90">
        <f t="shared" si="19"/>
        <v>203693.2</v>
      </c>
      <c r="J34" s="100">
        <f t="shared" si="19"/>
        <v>-34599.06</v>
      </c>
      <c r="K34" s="114">
        <f t="shared" si="19"/>
        <v>12360.529999999999</v>
      </c>
      <c r="L34" s="106">
        <f t="shared" si="19"/>
        <v>90320.54</v>
      </c>
      <c r="M34" s="90">
        <f t="shared" si="19"/>
        <v>90495.92</v>
      </c>
      <c r="N34" s="90">
        <f t="shared" si="19"/>
        <v>-15211.41</v>
      </c>
      <c r="O34" s="90">
        <f t="shared" si="19"/>
        <v>-16646.8</v>
      </c>
      <c r="P34" s="90">
        <f t="shared" si="19"/>
        <v>-23374.95</v>
      </c>
      <c r="Q34" s="90">
        <f t="shared" si="19"/>
        <v>-19372</v>
      </c>
      <c r="R34" s="90">
        <f t="shared" si="19"/>
        <v>-30171.699999999997</v>
      </c>
      <c r="S34" s="90">
        <f t="shared" si="19"/>
        <v>205255.1</v>
      </c>
      <c r="T34" s="90">
        <f t="shared" si="19"/>
        <v>-26276.799999999999</v>
      </c>
      <c r="U34" s="90">
        <f t="shared" si="19"/>
        <v>-46510.560000000005</v>
      </c>
      <c r="V34" s="90">
        <f t="shared" si="19"/>
        <v>204693.2</v>
      </c>
      <c r="W34" s="100">
        <f t="shared" si="19"/>
        <v>-33599.06</v>
      </c>
      <c r="X34" s="114">
        <f t="shared" si="19"/>
        <v>379601.48</v>
      </c>
      <c r="Y34" s="161">
        <f t="shared" si="3"/>
        <v>90320.54</v>
      </c>
      <c r="Z34" s="161">
        <f t="shared" si="4"/>
        <v>90495.92</v>
      </c>
      <c r="AA34" s="161">
        <f t="shared" si="5"/>
        <v>-15211.41</v>
      </c>
      <c r="AB34" s="161">
        <f t="shared" si="6"/>
        <v>-16646.8</v>
      </c>
      <c r="AC34" s="120">
        <f t="shared" si="7"/>
        <v>-23374.95</v>
      </c>
      <c r="AD34" s="120">
        <f t="shared" si="8"/>
        <v>-19372</v>
      </c>
      <c r="AE34" s="161">
        <f t="shared" si="9"/>
        <v>-30171.699999999997</v>
      </c>
      <c r="AF34" s="161">
        <f t="shared" si="10"/>
        <v>205255.1</v>
      </c>
      <c r="AG34" s="161">
        <f t="shared" si="11"/>
        <v>-26276.799999999999</v>
      </c>
      <c r="AH34" s="161">
        <f t="shared" si="12"/>
        <v>-46510.560000000005</v>
      </c>
      <c r="AI34" s="161">
        <f t="shared" si="13"/>
        <v>204693.2</v>
      </c>
      <c r="AJ34" s="161">
        <f t="shared" si="14"/>
        <v>-33599.06</v>
      </c>
      <c r="AK34" s="163">
        <f t="shared" si="2"/>
        <v>379601.48000000004</v>
      </c>
    </row>
    <row r="35" spans="1:37">
      <c r="A35" s="138" t="s">
        <v>126</v>
      </c>
      <c r="B35" s="87">
        <f>B32*M7</f>
        <v>0</v>
      </c>
      <c r="C35" s="87">
        <f>C32*M7</f>
        <v>0</v>
      </c>
      <c r="D35" s="87">
        <f>D32*M7</f>
        <v>0</v>
      </c>
      <c r="E35" s="87">
        <f>E32*M7</f>
        <v>0</v>
      </c>
      <c r="F35" s="87">
        <f>F32*M7</f>
        <v>0</v>
      </c>
      <c r="G35" s="87">
        <f>G32*M7</f>
        <v>0</v>
      </c>
      <c r="H35" s="87">
        <f>H32*M7</f>
        <v>0</v>
      </c>
      <c r="I35" s="87">
        <f>I32*M7</f>
        <v>0</v>
      </c>
      <c r="J35" s="98">
        <f>J32*M7</f>
        <v>0</v>
      </c>
      <c r="K35" s="116">
        <f>K32*M7</f>
        <v>0</v>
      </c>
      <c r="L35" s="104">
        <f>L32*M7</f>
        <v>0</v>
      </c>
      <c r="M35" s="87">
        <f>M32*M7</f>
        <v>0</v>
      </c>
      <c r="N35" s="87">
        <f>N32*M7</f>
        <v>0</v>
      </c>
      <c r="O35" s="87">
        <f>O32*M7</f>
        <v>0</v>
      </c>
      <c r="P35" s="87">
        <f>P32*M7</f>
        <v>0</v>
      </c>
      <c r="Q35" s="87">
        <f>Q32*M7</f>
        <v>0</v>
      </c>
      <c r="R35" s="87">
        <f>R32*M7</f>
        <v>0</v>
      </c>
      <c r="S35" s="87">
        <f>T32*M7</f>
        <v>0</v>
      </c>
      <c r="T35" s="87">
        <f>U32*M7</f>
        <v>0</v>
      </c>
      <c r="U35" s="87">
        <f>U32*M7</f>
        <v>0</v>
      </c>
      <c r="V35" s="87">
        <f>V32*M7</f>
        <v>0</v>
      </c>
      <c r="W35" s="98">
        <f>W32*M7</f>
        <v>0</v>
      </c>
      <c r="X35" s="116">
        <f>X32*M7</f>
        <v>0</v>
      </c>
      <c r="Y35" s="104">
        <f t="shared" si="3"/>
        <v>0</v>
      </c>
      <c r="Z35" s="104">
        <f t="shared" si="4"/>
        <v>0</v>
      </c>
      <c r="AA35" s="104">
        <f t="shared" si="5"/>
        <v>0</v>
      </c>
      <c r="AB35" s="104">
        <f t="shared" si="6"/>
        <v>0</v>
      </c>
      <c r="AC35" s="104">
        <f t="shared" si="7"/>
        <v>0</v>
      </c>
      <c r="AD35" s="104">
        <f t="shared" si="8"/>
        <v>0</v>
      </c>
      <c r="AE35" s="104">
        <f t="shared" si="9"/>
        <v>0</v>
      </c>
      <c r="AF35" s="104">
        <f t="shared" si="10"/>
        <v>0</v>
      </c>
      <c r="AG35" s="104">
        <f t="shared" si="11"/>
        <v>0</v>
      </c>
      <c r="AH35" s="104">
        <f t="shared" si="12"/>
        <v>0</v>
      </c>
      <c r="AI35" s="104">
        <f t="shared" si="13"/>
        <v>0</v>
      </c>
      <c r="AJ35" s="104">
        <f t="shared" si="14"/>
        <v>0</v>
      </c>
      <c r="AK35" s="150">
        <f t="shared" si="2"/>
        <v>0</v>
      </c>
    </row>
    <row r="36" spans="1:37">
      <c r="A36" s="140" t="s">
        <v>130</v>
      </c>
      <c r="B36" s="94">
        <f>(B25-B28)*M7</f>
        <v>0</v>
      </c>
      <c r="C36" s="94">
        <f>(C25-C28)*M7</f>
        <v>0</v>
      </c>
      <c r="D36" s="94">
        <f>(D28-D25)*M7</f>
        <v>0</v>
      </c>
      <c r="E36" s="94">
        <f>(E25-E28)*M7</f>
        <v>0</v>
      </c>
      <c r="F36" s="94">
        <f>(F25-F28)*M7</f>
        <v>0</v>
      </c>
      <c r="G36" s="94">
        <f>(G25-G28)*M7</f>
        <v>0</v>
      </c>
      <c r="H36" s="94">
        <f>(H25-H28)*M7</f>
        <v>0</v>
      </c>
      <c r="I36" s="94">
        <f>(I25-I28)*M7</f>
        <v>0</v>
      </c>
      <c r="J36" s="102">
        <f>(J25-J28)*M7</f>
        <v>0</v>
      </c>
      <c r="K36" s="117">
        <f>(K25-K28)*M7</f>
        <v>0</v>
      </c>
      <c r="L36" s="108">
        <f>(L25-L28)*M7</f>
        <v>0</v>
      </c>
      <c r="M36" s="94">
        <f>(M25-M28)*M7</f>
        <v>0</v>
      </c>
      <c r="N36" s="94">
        <f>(N25-N28)*M7</f>
        <v>0</v>
      </c>
      <c r="O36" s="94">
        <f>(O25-O28)*M7</f>
        <v>0</v>
      </c>
      <c r="P36" s="94">
        <f>(P25-P28)*M7</f>
        <v>0</v>
      </c>
      <c r="Q36" s="94">
        <f>(Q25-Q28)*M7</f>
        <v>0</v>
      </c>
      <c r="R36" s="94">
        <f>(R25-R28)*M7</f>
        <v>0</v>
      </c>
      <c r="S36" s="94">
        <f>(S25-S28)*M7</f>
        <v>0</v>
      </c>
      <c r="T36" s="94">
        <f>(T25-T28)*M7</f>
        <v>0</v>
      </c>
      <c r="U36" s="94">
        <f>(V25-V28)*M7</f>
        <v>0</v>
      </c>
      <c r="V36" s="94">
        <f>(V25-V28)*M7</f>
        <v>0</v>
      </c>
      <c r="W36" s="102">
        <f>(W28-W31)*M7</f>
        <v>0</v>
      </c>
      <c r="X36" s="117">
        <f>(X25-X28)*M7</f>
        <v>0</v>
      </c>
      <c r="Y36" s="120">
        <f t="shared" si="3"/>
        <v>0</v>
      </c>
      <c r="Z36" s="120">
        <f t="shared" si="4"/>
        <v>0</v>
      </c>
      <c r="AA36" s="120">
        <f t="shared" si="5"/>
        <v>0</v>
      </c>
      <c r="AB36" s="120">
        <f t="shared" si="6"/>
        <v>0</v>
      </c>
      <c r="AC36" s="120">
        <f t="shared" si="7"/>
        <v>0</v>
      </c>
      <c r="AD36" s="120">
        <f t="shared" si="8"/>
        <v>0</v>
      </c>
      <c r="AE36" s="120">
        <f t="shared" si="9"/>
        <v>0</v>
      </c>
      <c r="AF36" s="120">
        <f t="shared" si="10"/>
        <v>0</v>
      </c>
      <c r="AG36" s="120">
        <f t="shared" si="11"/>
        <v>0</v>
      </c>
      <c r="AH36" s="120">
        <f t="shared" si="12"/>
        <v>0</v>
      </c>
      <c r="AI36" s="120">
        <f t="shared" si="13"/>
        <v>0</v>
      </c>
      <c r="AJ36" s="120">
        <f t="shared" si="14"/>
        <v>0</v>
      </c>
      <c r="AK36" s="151">
        <f t="shared" si="2"/>
        <v>0</v>
      </c>
    </row>
    <row r="37" spans="1:37">
      <c r="A37" s="140" t="s">
        <v>131</v>
      </c>
      <c r="B37" s="94">
        <f>(B26-B29)*M7</f>
        <v>0</v>
      </c>
      <c r="C37" s="94">
        <f>(C26-C29)*M7</f>
        <v>0</v>
      </c>
      <c r="D37" s="94">
        <f>(D26-D29)*M7</f>
        <v>0</v>
      </c>
      <c r="E37" s="94">
        <f>(E26-E29)*M7</f>
        <v>0</v>
      </c>
      <c r="F37" s="94">
        <f>(F26-F29)*M7</f>
        <v>0</v>
      </c>
      <c r="G37" s="94">
        <f>(G26-G29)*M7</f>
        <v>0</v>
      </c>
      <c r="H37" s="94">
        <f>(H26-H29)*M7</f>
        <v>0</v>
      </c>
      <c r="I37" s="94">
        <f>(I26-I29)*M7</f>
        <v>0</v>
      </c>
      <c r="J37" s="102">
        <f>(J26-J29)*M7</f>
        <v>0</v>
      </c>
      <c r="K37" s="117">
        <f>(K26-K29)*M7</f>
        <v>0</v>
      </c>
      <c r="L37" s="108">
        <f>(L26-L29)*M7</f>
        <v>0</v>
      </c>
      <c r="M37" s="94">
        <f>(M26-M29)*M7</f>
        <v>0</v>
      </c>
      <c r="N37" s="94">
        <f>(N26-N29)*M7</f>
        <v>0</v>
      </c>
      <c r="O37" s="94">
        <f>(O26-O29)*M7</f>
        <v>0</v>
      </c>
      <c r="P37" s="94">
        <f>(P26-P29)*M7</f>
        <v>0</v>
      </c>
      <c r="Q37" s="94">
        <f>(Q26-Q29)*M7</f>
        <v>0</v>
      </c>
      <c r="R37" s="94">
        <f>(R26-R29)*M7</f>
        <v>0</v>
      </c>
      <c r="S37" s="94">
        <f>(S26-S29)*M7</f>
        <v>0</v>
      </c>
      <c r="T37" s="94">
        <f>(T26-T29)*M7</f>
        <v>0</v>
      </c>
      <c r="U37" s="94">
        <f>(U26-U29)*M7</f>
        <v>0</v>
      </c>
      <c r="V37" s="94">
        <f>(V26-V29)*M7</f>
        <v>0</v>
      </c>
      <c r="W37" s="102">
        <f>(W26-W29)*M7</f>
        <v>0</v>
      </c>
      <c r="X37" s="117">
        <f>(X26-X29)*M7</f>
        <v>0</v>
      </c>
      <c r="Y37" s="120">
        <f t="shared" si="3"/>
        <v>0</v>
      </c>
      <c r="Z37" s="120">
        <f t="shared" si="4"/>
        <v>0</v>
      </c>
      <c r="AA37" s="120">
        <f t="shared" si="5"/>
        <v>0</v>
      </c>
      <c r="AB37" s="120">
        <f t="shared" si="6"/>
        <v>0</v>
      </c>
      <c r="AC37" s="120">
        <f t="shared" si="7"/>
        <v>0</v>
      </c>
      <c r="AD37" s="120">
        <f t="shared" si="8"/>
        <v>0</v>
      </c>
      <c r="AE37" s="120">
        <f t="shared" si="9"/>
        <v>0</v>
      </c>
      <c r="AF37" s="120">
        <f t="shared" si="10"/>
        <v>0</v>
      </c>
      <c r="AG37" s="120">
        <f t="shared" si="11"/>
        <v>0</v>
      </c>
      <c r="AH37" s="120">
        <f t="shared" si="12"/>
        <v>0</v>
      </c>
      <c r="AI37" s="120">
        <f t="shared" si="13"/>
        <v>0</v>
      </c>
      <c r="AJ37" s="120">
        <f t="shared" si="14"/>
        <v>0</v>
      </c>
      <c r="AK37" s="151">
        <f t="shared" si="2"/>
        <v>0</v>
      </c>
    </row>
    <row r="38" spans="1:37">
      <c r="A38" s="138" t="s">
        <v>127</v>
      </c>
      <c r="B38" s="92">
        <f t="shared" ref="B38:X38" si="20">B32-B35</f>
        <v>-16827.8</v>
      </c>
      <c r="C38" s="95">
        <f t="shared" si="20"/>
        <v>-13633.45</v>
      </c>
      <c r="D38" s="95">
        <f t="shared" si="20"/>
        <v>-12917</v>
      </c>
      <c r="E38" s="95">
        <f t="shared" si="20"/>
        <v>-18889.5</v>
      </c>
      <c r="F38" s="95">
        <f t="shared" si="20"/>
        <v>-19800.900000000001</v>
      </c>
      <c r="G38" s="95">
        <f t="shared" si="20"/>
        <v>-27154.400000000001</v>
      </c>
      <c r="H38" s="95">
        <f t="shared" si="20"/>
        <v>-47510.560000000005</v>
      </c>
      <c r="I38" s="95">
        <f t="shared" si="20"/>
        <v>203693.2</v>
      </c>
      <c r="J38" s="103">
        <f t="shared" si="20"/>
        <v>-34599.06</v>
      </c>
      <c r="K38" s="118">
        <f t="shared" si="20"/>
        <v>12360.529999999999</v>
      </c>
      <c r="L38" s="109">
        <f t="shared" si="20"/>
        <v>90320.54</v>
      </c>
      <c r="M38" s="95">
        <f t="shared" si="20"/>
        <v>90495.92</v>
      </c>
      <c r="N38" s="95">
        <f t="shared" si="20"/>
        <v>-15211.41</v>
      </c>
      <c r="O38" s="95">
        <f t="shared" si="20"/>
        <v>-16646.8</v>
      </c>
      <c r="P38" s="95">
        <f t="shared" si="20"/>
        <v>-23374.95</v>
      </c>
      <c r="Q38" s="95">
        <f t="shared" si="20"/>
        <v>-19372</v>
      </c>
      <c r="R38" s="95">
        <f t="shared" si="20"/>
        <v>-30171.699999999997</v>
      </c>
      <c r="S38" s="95">
        <f t="shared" si="20"/>
        <v>205255.1</v>
      </c>
      <c r="T38" s="95">
        <f t="shared" si="20"/>
        <v>-26276.799999999999</v>
      </c>
      <c r="U38" s="95">
        <f t="shared" si="20"/>
        <v>-46510.560000000005</v>
      </c>
      <c r="V38" s="95">
        <f t="shared" si="20"/>
        <v>204693.2</v>
      </c>
      <c r="W38" s="103">
        <f t="shared" si="20"/>
        <v>-33599.06</v>
      </c>
      <c r="X38" s="118">
        <f t="shared" si="20"/>
        <v>379601.48</v>
      </c>
      <c r="Y38" s="105">
        <f t="shared" si="3"/>
        <v>90320.54</v>
      </c>
      <c r="Z38" s="105">
        <f t="shared" si="4"/>
        <v>90495.92</v>
      </c>
      <c r="AA38" s="105">
        <f t="shared" si="5"/>
        <v>-15211.41</v>
      </c>
      <c r="AB38" s="105">
        <f t="shared" si="6"/>
        <v>-16646.8</v>
      </c>
      <c r="AC38" s="104">
        <f t="shared" si="7"/>
        <v>-23374.95</v>
      </c>
      <c r="AD38" s="104">
        <f t="shared" si="8"/>
        <v>-19372</v>
      </c>
      <c r="AE38" s="105">
        <f t="shared" si="9"/>
        <v>-30171.699999999997</v>
      </c>
      <c r="AF38" s="105">
        <f t="shared" si="10"/>
        <v>205255.1</v>
      </c>
      <c r="AG38" s="105">
        <f t="shared" si="11"/>
        <v>-26276.799999999999</v>
      </c>
      <c r="AH38" s="105">
        <f t="shared" si="12"/>
        <v>-46510.560000000005</v>
      </c>
      <c r="AI38" s="105">
        <f t="shared" si="13"/>
        <v>204693.2</v>
      </c>
      <c r="AJ38" s="105">
        <f t="shared" si="14"/>
        <v>-33599.06</v>
      </c>
      <c r="AK38" s="162">
        <f t="shared" si="2"/>
        <v>379601.48000000004</v>
      </c>
    </row>
    <row r="39" spans="1:37">
      <c r="A39" s="133" t="s">
        <v>130</v>
      </c>
      <c r="B39" s="86">
        <f t="shared" ref="B39:S39" si="21">B33-B36</f>
        <v>0</v>
      </c>
      <c r="C39" s="86">
        <f t="shared" si="21"/>
        <v>0</v>
      </c>
      <c r="D39" s="86">
        <f t="shared" si="21"/>
        <v>0</v>
      </c>
      <c r="E39" s="86">
        <f t="shared" si="21"/>
        <v>0</v>
      </c>
      <c r="F39" s="86">
        <f t="shared" si="21"/>
        <v>0</v>
      </c>
      <c r="G39" s="86">
        <f t="shared" si="21"/>
        <v>0</v>
      </c>
      <c r="H39" s="86">
        <f t="shared" si="21"/>
        <v>0</v>
      </c>
      <c r="I39" s="86">
        <f t="shared" si="21"/>
        <v>0</v>
      </c>
      <c r="J39" s="97">
        <f t="shared" si="21"/>
        <v>0</v>
      </c>
      <c r="K39" s="112">
        <f t="shared" si="21"/>
        <v>0</v>
      </c>
      <c r="L39" s="96">
        <f t="shared" si="21"/>
        <v>0</v>
      </c>
      <c r="M39" s="86">
        <f t="shared" si="21"/>
        <v>0</v>
      </c>
      <c r="N39" s="86">
        <f t="shared" si="21"/>
        <v>0</v>
      </c>
      <c r="O39" s="86">
        <f t="shared" si="21"/>
        <v>0</v>
      </c>
      <c r="P39" s="86">
        <f t="shared" si="21"/>
        <v>0</v>
      </c>
      <c r="Q39" s="86">
        <f t="shared" si="21"/>
        <v>0</v>
      </c>
      <c r="R39" s="86">
        <f t="shared" si="21"/>
        <v>0</v>
      </c>
      <c r="S39" s="86">
        <f t="shared" si="21"/>
        <v>0</v>
      </c>
      <c r="T39" s="86">
        <f>T31-T36</f>
        <v>0</v>
      </c>
      <c r="U39" s="86">
        <f>U33-U36</f>
        <v>0</v>
      </c>
      <c r="V39" s="86">
        <f>W33-W36</f>
        <v>0</v>
      </c>
      <c r="W39" s="97">
        <f>W33-W36</f>
        <v>0</v>
      </c>
      <c r="X39" s="112">
        <f>X33-X36</f>
        <v>0</v>
      </c>
      <c r="Y39" s="120">
        <f t="shared" si="3"/>
        <v>0</v>
      </c>
      <c r="Z39" s="120">
        <f t="shared" si="4"/>
        <v>0</v>
      </c>
      <c r="AA39" s="120">
        <f t="shared" si="5"/>
        <v>0</v>
      </c>
      <c r="AB39" s="120">
        <f t="shared" si="6"/>
        <v>0</v>
      </c>
      <c r="AC39" s="120">
        <f t="shared" si="7"/>
        <v>0</v>
      </c>
      <c r="AD39" s="120">
        <f t="shared" si="8"/>
        <v>0</v>
      </c>
      <c r="AE39" s="120">
        <f t="shared" si="9"/>
        <v>0</v>
      </c>
      <c r="AF39" s="120">
        <f t="shared" si="10"/>
        <v>0</v>
      </c>
      <c r="AG39" s="120">
        <f t="shared" si="11"/>
        <v>0</v>
      </c>
      <c r="AH39" s="120">
        <f t="shared" si="12"/>
        <v>0</v>
      </c>
      <c r="AI39" s="120">
        <f t="shared" si="13"/>
        <v>0</v>
      </c>
      <c r="AJ39" s="120">
        <f t="shared" si="14"/>
        <v>0</v>
      </c>
      <c r="AK39" s="151">
        <f t="shared" si="2"/>
        <v>0</v>
      </c>
    </row>
    <row r="40" spans="1:37">
      <c r="A40" s="133" t="s">
        <v>131</v>
      </c>
      <c r="B40" s="86">
        <f t="shared" ref="B40:S40" si="22">B34-B37</f>
        <v>-16827.8</v>
      </c>
      <c r="C40" s="90">
        <f t="shared" si="22"/>
        <v>-13633.45</v>
      </c>
      <c r="D40" s="90">
        <f t="shared" si="22"/>
        <v>-12917</v>
      </c>
      <c r="E40" s="90">
        <f t="shared" si="22"/>
        <v>-18889.5</v>
      </c>
      <c r="F40" s="90">
        <f t="shared" si="22"/>
        <v>-19800.900000000001</v>
      </c>
      <c r="G40" s="90">
        <f t="shared" si="22"/>
        <v>-27154.400000000001</v>
      </c>
      <c r="H40" s="90">
        <f t="shared" si="22"/>
        <v>-47510.560000000005</v>
      </c>
      <c r="I40" s="90">
        <f t="shared" si="22"/>
        <v>203693.2</v>
      </c>
      <c r="J40" s="100">
        <f t="shared" si="22"/>
        <v>-34599.06</v>
      </c>
      <c r="K40" s="114">
        <f t="shared" si="22"/>
        <v>12360.529999999999</v>
      </c>
      <c r="L40" s="106">
        <f t="shared" si="22"/>
        <v>90320.54</v>
      </c>
      <c r="M40" s="90">
        <f t="shared" si="22"/>
        <v>90495.92</v>
      </c>
      <c r="N40" s="90">
        <f t="shared" si="22"/>
        <v>-15211.41</v>
      </c>
      <c r="O40" s="90">
        <f t="shared" si="22"/>
        <v>-16646.8</v>
      </c>
      <c r="P40" s="90">
        <f t="shared" si="22"/>
        <v>-23374.95</v>
      </c>
      <c r="Q40" s="90">
        <f t="shared" si="22"/>
        <v>-19372</v>
      </c>
      <c r="R40" s="90">
        <f t="shared" si="22"/>
        <v>-30171.699999999997</v>
      </c>
      <c r="S40" s="90">
        <f t="shared" si="22"/>
        <v>205255.1</v>
      </c>
      <c r="T40" s="90">
        <f>T34-T37</f>
        <v>-26276.799999999999</v>
      </c>
      <c r="U40" s="90">
        <f>U34-U37</f>
        <v>-46510.560000000005</v>
      </c>
      <c r="V40" s="90">
        <f>V34-V37</f>
        <v>204693.2</v>
      </c>
      <c r="W40" s="100">
        <f>W34-W37</f>
        <v>-33599.06</v>
      </c>
      <c r="X40" s="114">
        <f>X34-X37</f>
        <v>379601.48</v>
      </c>
      <c r="Y40" s="161">
        <f t="shared" si="3"/>
        <v>90320.54</v>
      </c>
      <c r="Z40" s="161">
        <f t="shared" si="4"/>
        <v>90495.92</v>
      </c>
      <c r="AA40" s="161">
        <f t="shared" si="5"/>
        <v>-15211.41</v>
      </c>
      <c r="AB40" s="161">
        <f t="shared" si="6"/>
        <v>-16646.8</v>
      </c>
      <c r="AC40" s="120">
        <f t="shared" si="7"/>
        <v>-23374.95</v>
      </c>
      <c r="AD40" s="120">
        <f t="shared" si="8"/>
        <v>-19372</v>
      </c>
      <c r="AE40" s="161">
        <f t="shared" si="9"/>
        <v>-30171.699999999997</v>
      </c>
      <c r="AF40" s="161">
        <f t="shared" si="10"/>
        <v>205255.1</v>
      </c>
      <c r="AG40" s="161">
        <f t="shared" si="11"/>
        <v>-26276.799999999999</v>
      </c>
      <c r="AH40" s="161">
        <f t="shared" si="12"/>
        <v>-46510.560000000005</v>
      </c>
      <c r="AI40" s="161">
        <f t="shared" si="13"/>
        <v>204693.2</v>
      </c>
      <c r="AJ40" s="161">
        <f t="shared" si="14"/>
        <v>-33599.06</v>
      </c>
      <c r="AK40" s="163">
        <f t="shared" si="2"/>
        <v>379601.48000000004</v>
      </c>
    </row>
    <row r="41" spans="1:37">
      <c r="A41" s="138" t="s">
        <v>128</v>
      </c>
      <c r="B41" s="92"/>
      <c r="C41" s="92"/>
      <c r="D41" s="92"/>
      <c r="E41" s="92"/>
      <c r="F41" s="92"/>
      <c r="G41" s="92"/>
      <c r="H41" s="92"/>
      <c r="I41" s="92"/>
      <c r="J41" s="101"/>
      <c r="K41" s="115"/>
      <c r="L41" s="107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101"/>
      <c r="X41" s="115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50"/>
    </row>
    <row r="42" spans="1:37" ht="15.75" thickBot="1">
      <c r="A42" s="152" t="s">
        <v>129</v>
      </c>
      <c r="B42" s="153">
        <f>B38</f>
        <v>-16827.8</v>
      </c>
      <c r="C42" s="154">
        <f>C38+B42</f>
        <v>-30461.25</v>
      </c>
      <c r="D42" s="154">
        <f t="shared" ref="D42:J42" si="23">D40+C42</f>
        <v>-43378.25</v>
      </c>
      <c r="E42" s="154">
        <f t="shared" si="23"/>
        <v>-62267.75</v>
      </c>
      <c r="F42" s="154">
        <f t="shared" si="23"/>
        <v>-82068.649999999994</v>
      </c>
      <c r="G42" s="154">
        <f t="shared" si="23"/>
        <v>-109223.04999999999</v>
      </c>
      <c r="H42" s="154">
        <f t="shared" si="23"/>
        <v>-156733.60999999999</v>
      </c>
      <c r="I42" s="154">
        <f t="shared" si="23"/>
        <v>46959.590000000026</v>
      </c>
      <c r="J42" s="155">
        <f t="shared" si="23"/>
        <v>12360.530000000028</v>
      </c>
      <c r="K42" s="119">
        <f>K40</f>
        <v>12360.529999999999</v>
      </c>
      <c r="L42" s="156">
        <f>J42+L40</f>
        <v>102681.07000000002</v>
      </c>
      <c r="M42" s="154">
        <f t="shared" ref="M42:W42" si="24">M40+L42</f>
        <v>193176.99000000002</v>
      </c>
      <c r="N42" s="154">
        <f t="shared" si="24"/>
        <v>177965.58000000002</v>
      </c>
      <c r="O42" s="154">
        <f t="shared" si="24"/>
        <v>161318.78000000003</v>
      </c>
      <c r="P42" s="154">
        <f t="shared" si="24"/>
        <v>137943.83000000002</v>
      </c>
      <c r="Q42" s="154">
        <f t="shared" si="24"/>
        <v>118571.83000000002</v>
      </c>
      <c r="R42" s="154">
        <f t="shared" si="24"/>
        <v>88400.130000000019</v>
      </c>
      <c r="S42" s="154">
        <f t="shared" si="24"/>
        <v>293655.23000000004</v>
      </c>
      <c r="T42" s="154">
        <f t="shared" si="24"/>
        <v>267378.43000000005</v>
      </c>
      <c r="U42" s="154">
        <f t="shared" si="24"/>
        <v>220867.87000000005</v>
      </c>
      <c r="V42" s="154">
        <f t="shared" si="24"/>
        <v>425561.07000000007</v>
      </c>
      <c r="W42" s="155">
        <f t="shared" si="24"/>
        <v>391962.01000000007</v>
      </c>
      <c r="X42" s="119">
        <f>X40+K40</f>
        <v>391962.01</v>
      </c>
      <c r="Y42" s="159">
        <f>Y40+W42</f>
        <v>482282.55000000005</v>
      </c>
      <c r="Z42" s="159">
        <f t="shared" ref="Z42:AJ42" si="25">Z40+Y42</f>
        <v>572778.47000000009</v>
      </c>
      <c r="AA42" s="159">
        <f t="shared" si="25"/>
        <v>557567.06000000006</v>
      </c>
      <c r="AB42" s="159">
        <f t="shared" si="25"/>
        <v>540920.26</v>
      </c>
      <c r="AC42" s="159">
        <f t="shared" si="25"/>
        <v>517545.31</v>
      </c>
      <c r="AD42" s="159">
        <f t="shared" si="25"/>
        <v>498173.31</v>
      </c>
      <c r="AE42" s="159">
        <f t="shared" si="25"/>
        <v>468001.61</v>
      </c>
      <c r="AF42" s="159">
        <f t="shared" si="25"/>
        <v>673256.71</v>
      </c>
      <c r="AG42" s="159">
        <f t="shared" si="25"/>
        <v>646979.90999999992</v>
      </c>
      <c r="AH42" s="159">
        <f t="shared" si="25"/>
        <v>600469.34999999986</v>
      </c>
      <c r="AI42" s="159">
        <f t="shared" si="25"/>
        <v>805162.54999999981</v>
      </c>
      <c r="AJ42" s="159">
        <f t="shared" si="25"/>
        <v>771563.48999999976</v>
      </c>
      <c r="AK42" s="160">
        <f>AK40+W42</f>
        <v>771563.49000000011</v>
      </c>
    </row>
    <row r="46" spans="1:37" ht="15.75" thickBot="1"/>
    <row r="47" spans="1:37" ht="15.75" thickBot="1">
      <c r="A47" s="136" t="s">
        <v>134</v>
      </c>
      <c r="B47" s="137"/>
      <c r="C47" s="2"/>
      <c r="D47" s="2"/>
      <c r="E47" s="2"/>
      <c r="F47" s="24" t="s">
        <v>190</v>
      </c>
      <c r="G47" s="2"/>
      <c r="H47" s="2"/>
      <c r="I47" s="2"/>
      <c r="J47" s="2"/>
      <c r="K47" s="41" t="s">
        <v>132</v>
      </c>
      <c r="L47" s="2"/>
      <c r="M47" s="2"/>
      <c r="N47" s="2"/>
      <c r="O47" s="2"/>
      <c r="P47" s="2"/>
      <c r="Q47" s="2"/>
      <c r="R47" s="2"/>
      <c r="S47" s="149" t="s">
        <v>191</v>
      </c>
      <c r="T47" s="2"/>
      <c r="U47" s="2"/>
      <c r="V47" s="2"/>
      <c r="W47" s="2"/>
      <c r="X47" s="41" t="s">
        <v>72</v>
      </c>
      <c r="Y47" s="2"/>
      <c r="Z47" s="2"/>
      <c r="AA47" s="2"/>
      <c r="AB47" s="2"/>
      <c r="AC47" s="2"/>
      <c r="AD47" s="2"/>
      <c r="AE47" s="2"/>
      <c r="AF47" s="149" t="s">
        <v>192</v>
      </c>
      <c r="AG47" s="2"/>
      <c r="AH47" s="2"/>
      <c r="AI47" s="2"/>
      <c r="AJ47" s="2"/>
      <c r="AK47" s="41" t="s">
        <v>72</v>
      </c>
    </row>
    <row r="48" spans="1:37">
      <c r="A48" s="133"/>
      <c r="B48" s="86" t="s">
        <v>14</v>
      </c>
      <c r="C48" s="86" t="s">
        <v>1</v>
      </c>
      <c r="D48" s="86" t="s">
        <v>4</v>
      </c>
      <c r="E48" s="86" t="s">
        <v>5</v>
      </c>
      <c r="F48" s="86" t="s">
        <v>7</v>
      </c>
      <c r="G48" s="86" t="s">
        <v>9</v>
      </c>
      <c r="H48" s="86" t="s">
        <v>26</v>
      </c>
      <c r="I48" s="86" t="s">
        <v>22</v>
      </c>
      <c r="J48" s="97" t="s">
        <v>36</v>
      </c>
      <c r="K48" s="110" t="str">
        <f>F47</f>
        <v>1 год</v>
      </c>
      <c r="L48" s="96" t="s">
        <v>23</v>
      </c>
      <c r="M48" s="86" t="s">
        <v>24</v>
      </c>
      <c r="N48" s="86" t="s">
        <v>13</v>
      </c>
      <c r="O48" s="86" t="s">
        <v>14</v>
      </c>
      <c r="P48" s="86" t="s">
        <v>1</v>
      </c>
      <c r="Q48" s="86" t="s">
        <v>4</v>
      </c>
      <c r="R48" s="86" t="s">
        <v>5</v>
      </c>
      <c r="S48" s="86" t="s">
        <v>7</v>
      </c>
      <c r="T48" s="86" t="s">
        <v>9</v>
      </c>
      <c r="U48" s="86" t="s">
        <v>26</v>
      </c>
      <c r="V48" s="86" t="s">
        <v>22</v>
      </c>
      <c r="W48" s="97" t="s">
        <v>36</v>
      </c>
      <c r="X48" s="149" t="s">
        <v>191</v>
      </c>
      <c r="Y48" s="96" t="s">
        <v>23</v>
      </c>
      <c r="Z48" s="86" t="s">
        <v>24</v>
      </c>
      <c r="AA48" s="86" t="s">
        <v>13</v>
      </c>
      <c r="AB48" s="86" t="s">
        <v>14</v>
      </c>
      <c r="AC48" s="86" t="s">
        <v>1</v>
      </c>
      <c r="AD48" s="86" t="s">
        <v>4</v>
      </c>
      <c r="AE48" s="86" t="s">
        <v>5</v>
      </c>
      <c r="AF48" s="86" t="s">
        <v>7</v>
      </c>
      <c r="AG48" s="86" t="s">
        <v>9</v>
      </c>
      <c r="AH48" s="86" t="s">
        <v>26</v>
      </c>
      <c r="AI48" s="86" t="s">
        <v>22</v>
      </c>
      <c r="AJ48" s="97" t="s">
        <v>36</v>
      </c>
      <c r="AK48" s="149" t="s">
        <v>192</v>
      </c>
    </row>
    <row r="49" spans="1:37">
      <c r="A49" s="138" t="s">
        <v>135</v>
      </c>
      <c r="B49" s="92">
        <v>0</v>
      </c>
      <c r="C49" s="95">
        <f t="shared" ref="C49:J49" si="26">B71</f>
        <v>139905.81</v>
      </c>
      <c r="D49" s="95">
        <f t="shared" si="26"/>
        <v>126272.36</v>
      </c>
      <c r="E49" s="95">
        <f t="shared" si="26"/>
        <v>113355.36</v>
      </c>
      <c r="F49" s="95">
        <f t="shared" si="26"/>
        <v>94465.86</v>
      </c>
      <c r="G49" s="95">
        <f t="shared" si="26"/>
        <v>74664.959999999992</v>
      </c>
      <c r="H49" s="95">
        <f t="shared" si="26"/>
        <v>47510.55999999999</v>
      </c>
      <c r="I49" s="95">
        <f t="shared" si="26"/>
        <v>-1.4551915228366852E-11</v>
      </c>
      <c r="J49" s="103">
        <f t="shared" si="26"/>
        <v>203693.2</v>
      </c>
      <c r="K49" s="115"/>
      <c r="L49" s="109">
        <f>J71</f>
        <v>169094.14</v>
      </c>
      <c r="M49" s="95">
        <f t="shared" ref="M49:W49" si="27">L71</f>
        <v>259414.68</v>
      </c>
      <c r="N49" s="95">
        <f t="shared" si="27"/>
        <v>349910.6</v>
      </c>
      <c r="O49" s="95">
        <f t="shared" si="27"/>
        <v>334699.19</v>
      </c>
      <c r="P49" s="95">
        <f t="shared" si="27"/>
        <v>318052.39</v>
      </c>
      <c r="Q49" s="95">
        <f t="shared" si="27"/>
        <v>294677.44</v>
      </c>
      <c r="R49" s="95">
        <f t="shared" si="27"/>
        <v>275305.44</v>
      </c>
      <c r="S49" s="95">
        <f t="shared" si="27"/>
        <v>245133.74</v>
      </c>
      <c r="T49" s="95">
        <f t="shared" si="27"/>
        <v>450388.83999999997</v>
      </c>
      <c r="U49" s="95">
        <f t="shared" si="27"/>
        <v>424112.04</v>
      </c>
      <c r="V49" s="95">
        <f t="shared" si="27"/>
        <v>377601.48</v>
      </c>
      <c r="W49" s="103">
        <f t="shared" si="27"/>
        <v>582294.67999999993</v>
      </c>
      <c r="X49" s="118">
        <f>J71</f>
        <v>169094.14</v>
      </c>
      <c r="Y49" s="109">
        <f>W71</f>
        <v>548695.61999999988</v>
      </c>
      <c r="Z49" s="109">
        <f t="shared" ref="Z49:AJ49" si="28">Y71</f>
        <v>639016.15999999992</v>
      </c>
      <c r="AA49" s="109">
        <f t="shared" si="28"/>
        <v>729512.08</v>
      </c>
      <c r="AB49" s="109">
        <f t="shared" si="28"/>
        <v>714300.66999999993</v>
      </c>
      <c r="AC49" s="109">
        <f t="shared" si="28"/>
        <v>697653.86999999988</v>
      </c>
      <c r="AD49" s="109">
        <f t="shared" si="28"/>
        <v>674278.91999999993</v>
      </c>
      <c r="AE49" s="109">
        <f t="shared" si="28"/>
        <v>654906.91999999993</v>
      </c>
      <c r="AF49" s="109">
        <f t="shared" si="28"/>
        <v>624735.22</v>
      </c>
      <c r="AG49" s="109">
        <f t="shared" si="28"/>
        <v>829990.32</v>
      </c>
      <c r="AH49" s="109">
        <f t="shared" si="28"/>
        <v>803713.5199999999</v>
      </c>
      <c r="AI49" s="109">
        <f t="shared" si="28"/>
        <v>757202.95999999985</v>
      </c>
      <c r="AJ49" s="127">
        <f t="shared" si="28"/>
        <v>961896.15999999992</v>
      </c>
      <c r="AK49" s="118">
        <f>X71</f>
        <v>548695.62</v>
      </c>
    </row>
    <row r="50" spans="1:37">
      <c r="A50" s="139" t="s">
        <v>136</v>
      </c>
      <c r="B50" s="86">
        <f t="shared" ref="B50:X50" si="29">B24</f>
        <v>0</v>
      </c>
      <c r="C50" s="86">
        <f t="shared" si="29"/>
        <v>0</v>
      </c>
      <c r="D50" s="86">
        <f t="shared" si="29"/>
        <v>0</v>
      </c>
      <c r="E50" s="86">
        <f t="shared" si="29"/>
        <v>0</v>
      </c>
      <c r="F50" s="86">
        <f t="shared" si="29"/>
        <v>0</v>
      </c>
      <c r="G50" s="86">
        <f t="shared" si="29"/>
        <v>0</v>
      </c>
      <c r="H50" s="86">
        <f t="shared" si="29"/>
        <v>0</v>
      </c>
      <c r="I50" s="86">
        <f t="shared" si="29"/>
        <v>231000</v>
      </c>
      <c r="J50" s="97">
        <f t="shared" si="29"/>
        <v>0</v>
      </c>
      <c r="K50" s="112">
        <f t="shared" si="29"/>
        <v>231000</v>
      </c>
      <c r="L50" s="96">
        <f t="shared" si="29"/>
        <v>115500</v>
      </c>
      <c r="M50" s="86">
        <f t="shared" si="29"/>
        <v>115500</v>
      </c>
      <c r="N50" s="86">
        <f t="shared" si="29"/>
        <v>0</v>
      </c>
      <c r="O50" s="86">
        <f t="shared" si="29"/>
        <v>0</v>
      </c>
      <c r="P50" s="86">
        <f t="shared" si="29"/>
        <v>0</v>
      </c>
      <c r="Q50" s="86">
        <f t="shared" si="29"/>
        <v>0</v>
      </c>
      <c r="R50" s="86">
        <f t="shared" si="29"/>
        <v>0</v>
      </c>
      <c r="S50" s="86">
        <f t="shared" si="29"/>
        <v>231000</v>
      </c>
      <c r="T50" s="86">
        <f t="shared" si="29"/>
        <v>0</v>
      </c>
      <c r="U50" s="86">
        <f t="shared" si="29"/>
        <v>0</v>
      </c>
      <c r="V50" s="86">
        <f t="shared" si="29"/>
        <v>231000</v>
      </c>
      <c r="W50" s="97">
        <f t="shared" si="29"/>
        <v>0</v>
      </c>
      <c r="X50" s="112">
        <f t="shared" si="29"/>
        <v>693000</v>
      </c>
      <c r="Y50" s="126">
        <f t="shared" ref="Y50:Y70" si="30">L50</f>
        <v>115500</v>
      </c>
      <c r="Z50" s="126">
        <f t="shared" ref="Z50:Z70" si="31">M50</f>
        <v>115500</v>
      </c>
      <c r="AA50" s="126">
        <f t="shared" ref="AA50:AA70" si="32">N50</f>
        <v>0</v>
      </c>
      <c r="AB50" s="126">
        <f t="shared" ref="AB50:AB70" si="33">O50</f>
        <v>0</v>
      </c>
      <c r="AC50" s="126">
        <f t="shared" ref="AC50:AC70" si="34">P50</f>
        <v>0</v>
      </c>
      <c r="AD50" s="126">
        <f t="shared" ref="AD50:AD70" si="35">Q50</f>
        <v>0</v>
      </c>
      <c r="AE50" s="126">
        <f t="shared" ref="AE50:AE70" si="36">R50</f>
        <v>0</v>
      </c>
      <c r="AF50" s="126">
        <f t="shared" ref="AF50:AF70" si="37">S50</f>
        <v>231000</v>
      </c>
      <c r="AG50" s="126">
        <f t="shared" ref="AG50:AG70" si="38">T50</f>
        <v>0</v>
      </c>
      <c r="AH50" s="126">
        <f t="shared" ref="AH50:AH70" si="39">U50</f>
        <v>0</v>
      </c>
      <c r="AI50" s="126">
        <f t="shared" ref="AI50:AI70" si="40">V50</f>
        <v>231000</v>
      </c>
      <c r="AJ50" s="128">
        <f t="shared" ref="AJ50:AJ70" si="41">W50</f>
        <v>0</v>
      </c>
      <c r="AK50" s="129">
        <f t="shared" ref="AK50:AK62" si="42">SUM(Y50:AJ50)</f>
        <v>693000</v>
      </c>
    </row>
    <row r="51" spans="1:37">
      <c r="A51" s="139" t="s">
        <v>137</v>
      </c>
      <c r="B51" s="121">
        <f t="shared" ref="B51:J51" si="43">B52+B53+B54+B55+B56+B57+B58</f>
        <v>16827.8</v>
      </c>
      <c r="C51" s="121">
        <f t="shared" si="43"/>
        <v>13633.45</v>
      </c>
      <c r="D51" s="121">
        <f t="shared" si="43"/>
        <v>12917</v>
      </c>
      <c r="E51" s="121">
        <f t="shared" si="43"/>
        <v>18889.5</v>
      </c>
      <c r="F51" s="122">
        <f t="shared" si="43"/>
        <v>19800.900000000001</v>
      </c>
      <c r="G51" s="121">
        <f t="shared" si="43"/>
        <v>27154.400000000001</v>
      </c>
      <c r="H51" s="121">
        <f t="shared" si="43"/>
        <v>47510.560000000005</v>
      </c>
      <c r="I51" s="121">
        <f t="shared" si="43"/>
        <v>27306.799999999999</v>
      </c>
      <c r="J51" s="123">
        <f t="shared" si="43"/>
        <v>34599.06</v>
      </c>
      <c r="K51" s="125">
        <f t="shared" ref="K51:K58" si="44">SUM(B51:J51)</f>
        <v>218639.46999999997</v>
      </c>
      <c r="L51" s="124">
        <f t="shared" ref="L51:W51" si="45">L52+L53+L54+L55+L56+L57+L58</f>
        <v>25179.460000000003</v>
      </c>
      <c r="M51" s="121">
        <f t="shared" si="45"/>
        <v>25004.080000000002</v>
      </c>
      <c r="N51" s="121">
        <f t="shared" si="45"/>
        <v>15211.41</v>
      </c>
      <c r="O51" s="121">
        <f t="shared" si="45"/>
        <v>16646.8</v>
      </c>
      <c r="P51" s="121">
        <f t="shared" si="45"/>
        <v>23374.95</v>
      </c>
      <c r="Q51" s="121">
        <f t="shared" si="45"/>
        <v>19372</v>
      </c>
      <c r="R51" s="121">
        <f t="shared" si="45"/>
        <v>30171.699999999997</v>
      </c>
      <c r="S51" s="121">
        <f t="shared" si="45"/>
        <v>25744.9</v>
      </c>
      <c r="T51" s="121">
        <f t="shared" si="45"/>
        <v>26276.799999999999</v>
      </c>
      <c r="U51" s="121">
        <f t="shared" si="45"/>
        <v>46510.560000000005</v>
      </c>
      <c r="V51" s="121">
        <f t="shared" si="45"/>
        <v>26306.799999999999</v>
      </c>
      <c r="W51" s="123">
        <f t="shared" si="45"/>
        <v>33599.06</v>
      </c>
      <c r="X51" s="125">
        <f t="shared" ref="X51:X58" si="46">SUM(L51:W51)</f>
        <v>313398.52</v>
      </c>
      <c r="Y51" s="177">
        <f t="shared" si="30"/>
        <v>25179.460000000003</v>
      </c>
      <c r="Z51" s="177">
        <f t="shared" si="31"/>
        <v>25004.080000000002</v>
      </c>
      <c r="AA51" s="177">
        <f t="shared" si="32"/>
        <v>15211.41</v>
      </c>
      <c r="AB51" s="177">
        <f t="shared" si="33"/>
        <v>16646.8</v>
      </c>
      <c r="AC51" s="177">
        <f t="shared" si="34"/>
        <v>23374.95</v>
      </c>
      <c r="AD51" s="177">
        <f t="shared" si="35"/>
        <v>19372</v>
      </c>
      <c r="AE51" s="177">
        <f t="shared" si="36"/>
        <v>30171.699999999997</v>
      </c>
      <c r="AF51" s="177">
        <f t="shared" si="37"/>
        <v>25744.9</v>
      </c>
      <c r="AG51" s="177">
        <f t="shared" si="38"/>
        <v>26276.799999999999</v>
      </c>
      <c r="AH51" s="177">
        <f t="shared" si="39"/>
        <v>46510.560000000005</v>
      </c>
      <c r="AI51" s="177">
        <f t="shared" si="40"/>
        <v>26306.799999999999</v>
      </c>
      <c r="AJ51" s="178">
        <f t="shared" si="41"/>
        <v>33599.06</v>
      </c>
      <c r="AK51" s="179">
        <f t="shared" si="42"/>
        <v>313398.52</v>
      </c>
    </row>
    <row r="52" spans="1:37">
      <c r="A52" s="133" t="s">
        <v>138</v>
      </c>
      <c r="B52" s="90">
        <f>Лист2!B18</f>
        <v>3333</v>
      </c>
      <c r="C52" s="90">
        <f>Лист2!C18</f>
        <v>2633.4500000000003</v>
      </c>
      <c r="D52" s="90">
        <f>Лист2!D18</f>
        <v>1917</v>
      </c>
      <c r="E52" s="90">
        <f>Лист2!E18</f>
        <v>7889.5000000000009</v>
      </c>
      <c r="F52" s="90">
        <f>Лист2!F18</f>
        <v>8800.9000000000015</v>
      </c>
      <c r="G52" s="90">
        <f>Лист2!G18</f>
        <v>13659.6</v>
      </c>
      <c r="H52" s="90">
        <f>Лист2!H18</f>
        <v>33932.600000000006</v>
      </c>
      <c r="I52" s="90">
        <f>Лист2!I18</f>
        <v>13812</v>
      </c>
      <c r="J52" s="100">
        <f>Лист2!J18</f>
        <v>21021.100000000002</v>
      </c>
      <c r="K52" s="125">
        <f t="shared" si="44"/>
        <v>106999.15000000002</v>
      </c>
      <c r="L52" s="106">
        <f>Лист2!L18</f>
        <v>12601.500000000002</v>
      </c>
      <c r="M52" s="90">
        <f>Лист2!M18</f>
        <v>12675.6</v>
      </c>
      <c r="N52" s="90">
        <f>Лист2!N18</f>
        <v>2633.4500000000003</v>
      </c>
      <c r="O52" s="90">
        <f>Лист2!O18</f>
        <v>4152</v>
      </c>
      <c r="P52" s="90">
        <f>Лист2!P18</f>
        <v>13374.95</v>
      </c>
      <c r="Q52" s="90">
        <f>Лист2!Q18</f>
        <v>9372</v>
      </c>
      <c r="R52" s="90">
        <f>Лист2!R18</f>
        <v>20171.699999999997</v>
      </c>
      <c r="S52" s="90">
        <f>Лист2!S18</f>
        <v>15744.900000000001</v>
      </c>
      <c r="T52" s="90">
        <f>Лист2!T18</f>
        <v>13782</v>
      </c>
      <c r="U52" s="90">
        <f>Лист2!U18</f>
        <v>33932.600000000006</v>
      </c>
      <c r="V52" s="90">
        <f>Лист2!V18</f>
        <v>13812</v>
      </c>
      <c r="W52" s="100">
        <f>Лист2!W18</f>
        <v>21021.100000000002</v>
      </c>
      <c r="X52" s="125">
        <f t="shared" si="46"/>
        <v>173273.80000000002</v>
      </c>
      <c r="Y52" s="126">
        <f t="shared" si="30"/>
        <v>12601.500000000002</v>
      </c>
      <c r="Z52" s="126">
        <f t="shared" si="31"/>
        <v>12675.6</v>
      </c>
      <c r="AA52" s="126">
        <f t="shared" si="32"/>
        <v>2633.4500000000003</v>
      </c>
      <c r="AB52" s="126">
        <f t="shared" si="33"/>
        <v>4152</v>
      </c>
      <c r="AC52" s="126">
        <f t="shared" si="34"/>
        <v>13374.95</v>
      </c>
      <c r="AD52" s="126">
        <f t="shared" si="35"/>
        <v>9372</v>
      </c>
      <c r="AE52" s="126">
        <f t="shared" si="36"/>
        <v>20171.699999999997</v>
      </c>
      <c r="AF52" s="126">
        <f t="shared" si="37"/>
        <v>15744.900000000001</v>
      </c>
      <c r="AG52" s="126">
        <f t="shared" si="38"/>
        <v>13782</v>
      </c>
      <c r="AH52" s="126">
        <f t="shared" si="39"/>
        <v>33932.600000000006</v>
      </c>
      <c r="AI52" s="126">
        <f t="shared" si="40"/>
        <v>13812</v>
      </c>
      <c r="AJ52" s="128">
        <f t="shared" si="41"/>
        <v>21021.100000000002</v>
      </c>
      <c r="AK52" s="129">
        <f t="shared" si="42"/>
        <v>173273.80000000002</v>
      </c>
    </row>
    <row r="53" spans="1:37">
      <c r="A53" s="133" t="s">
        <v>139</v>
      </c>
      <c r="B53" s="90">
        <f>Лист2!B22</f>
        <v>2494.7999999999997</v>
      </c>
      <c r="C53" s="86">
        <f>Лист2!C22</f>
        <v>0</v>
      </c>
      <c r="D53" s="86">
        <f>Лист2!D22</f>
        <v>0</v>
      </c>
      <c r="E53" s="86">
        <f>Лист2!E22</f>
        <v>0</v>
      </c>
      <c r="F53" s="86">
        <f>Лист2!F22</f>
        <v>0</v>
      </c>
      <c r="G53" s="90">
        <f>Лист2!G22</f>
        <v>2494.7999999999997</v>
      </c>
      <c r="H53" s="90">
        <f>Лист2!H22</f>
        <v>2577.96</v>
      </c>
      <c r="I53" s="90">
        <f>Лист2!I22</f>
        <v>2494.7999999999997</v>
      </c>
      <c r="J53" s="100">
        <f>Лист2!J22</f>
        <v>2577.96</v>
      </c>
      <c r="K53" s="125">
        <f t="shared" si="44"/>
        <v>12640.32</v>
      </c>
      <c r="L53" s="106">
        <f>Лист2!L22</f>
        <v>2577.96</v>
      </c>
      <c r="M53" s="90">
        <f>Лист2!M22</f>
        <v>2328.48</v>
      </c>
      <c r="N53" s="90">
        <f>Лист2!N22</f>
        <v>2577.96</v>
      </c>
      <c r="O53" s="90">
        <f>Лист2!O22</f>
        <v>2494.7999999999997</v>
      </c>
      <c r="P53" s="86">
        <f>Лист2!P22</f>
        <v>0</v>
      </c>
      <c r="Q53" s="86">
        <f>Лист2!Q22</f>
        <v>0</v>
      </c>
      <c r="R53" s="86">
        <f>Лист2!R22</f>
        <v>0</v>
      </c>
      <c r="S53" s="86">
        <f>Лист2!S22</f>
        <v>0</v>
      </c>
      <c r="T53" s="90">
        <f>Лист2!T22</f>
        <v>2494.7999999999997</v>
      </c>
      <c r="U53" s="90">
        <f>Лист2!U22</f>
        <v>2577.96</v>
      </c>
      <c r="V53" s="90">
        <f>Лист2!V22</f>
        <v>2494.7999999999997</v>
      </c>
      <c r="W53" s="100">
        <f>Лист2!W22</f>
        <v>2577.96</v>
      </c>
      <c r="X53" s="125">
        <f t="shared" si="46"/>
        <v>20124.719999999998</v>
      </c>
      <c r="Y53" s="126">
        <f t="shared" si="30"/>
        <v>2577.96</v>
      </c>
      <c r="Z53" s="126">
        <f t="shared" si="31"/>
        <v>2328.48</v>
      </c>
      <c r="AA53" s="126">
        <f t="shared" si="32"/>
        <v>2577.96</v>
      </c>
      <c r="AB53" s="126">
        <f t="shared" si="33"/>
        <v>2494.7999999999997</v>
      </c>
      <c r="AC53" s="126">
        <f t="shared" si="34"/>
        <v>0</v>
      </c>
      <c r="AD53" s="126">
        <f t="shared" si="35"/>
        <v>0</v>
      </c>
      <c r="AE53" s="126">
        <f t="shared" si="36"/>
        <v>0</v>
      </c>
      <c r="AF53" s="126">
        <f t="shared" si="37"/>
        <v>0</v>
      </c>
      <c r="AG53" s="126">
        <f t="shared" si="38"/>
        <v>2494.7999999999997</v>
      </c>
      <c r="AH53" s="126">
        <f t="shared" si="39"/>
        <v>2577.96</v>
      </c>
      <c r="AI53" s="126">
        <f t="shared" si="40"/>
        <v>2494.7999999999997</v>
      </c>
      <c r="AJ53" s="128">
        <f t="shared" si="41"/>
        <v>2577.96</v>
      </c>
      <c r="AK53" s="129">
        <f t="shared" si="42"/>
        <v>20124.719999999998</v>
      </c>
    </row>
    <row r="54" spans="1:37">
      <c r="A54" s="133" t="s">
        <v>194</v>
      </c>
      <c r="B54" s="86">
        <f>Лист2!B23</f>
        <v>5000</v>
      </c>
      <c r="C54" s="86">
        <f>Лист2!C23</f>
        <v>5000</v>
      </c>
      <c r="D54" s="86">
        <f>Лист2!D23</f>
        <v>5000</v>
      </c>
      <c r="E54" s="86">
        <f>Лист2!E23</f>
        <v>5000</v>
      </c>
      <c r="F54" s="86">
        <f>Лист2!F23</f>
        <v>5000</v>
      </c>
      <c r="G54" s="86">
        <f>Лист2!G23</f>
        <v>5000</v>
      </c>
      <c r="H54" s="86">
        <f>Лист2!H23</f>
        <v>5000</v>
      </c>
      <c r="I54" s="86">
        <f>Лист2!I23</f>
        <v>5000</v>
      </c>
      <c r="J54" s="97">
        <f>Лист2!J23</f>
        <v>5000</v>
      </c>
      <c r="K54" s="125">
        <f t="shared" si="44"/>
        <v>45000</v>
      </c>
      <c r="L54" s="96">
        <f>Лист2!L23</f>
        <v>5000</v>
      </c>
      <c r="M54" s="86">
        <f>Лист2!M23</f>
        <v>5000</v>
      </c>
      <c r="N54" s="86">
        <f>Лист2!N23</f>
        <v>5000</v>
      </c>
      <c r="O54" s="86">
        <f>Лист2!O23</f>
        <v>5000</v>
      </c>
      <c r="P54" s="86">
        <f>Лист2!P23</f>
        <v>5000</v>
      </c>
      <c r="Q54" s="86">
        <f>Лист2!Q23</f>
        <v>5000</v>
      </c>
      <c r="R54" s="86">
        <f>Лист2!R23</f>
        <v>5000</v>
      </c>
      <c r="S54" s="86">
        <f>Лист2!S23</f>
        <v>5000</v>
      </c>
      <c r="T54" s="86">
        <f>Лист2!T23</f>
        <v>5000</v>
      </c>
      <c r="U54" s="86">
        <f>Лист2!U23</f>
        <v>5000</v>
      </c>
      <c r="V54" s="86">
        <f>Лист2!V23</f>
        <v>5000</v>
      </c>
      <c r="W54" s="97">
        <f>Лист2!W23</f>
        <v>5000</v>
      </c>
      <c r="X54" s="125">
        <f t="shared" si="46"/>
        <v>60000</v>
      </c>
      <c r="Y54" s="126">
        <f t="shared" si="30"/>
        <v>5000</v>
      </c>
      <c r="Z54" s="126">
        <f t="shared" si="31"/>
        <v>5000</v>
      </c>
      <c r="AA54" s="126">
        <f t="shared" si="32"/>
        <v>5000</v>
      </c>
      <c r="AB54" s="126">
        <f t="shared" si="33"/>
        <v>5000</v>
      </c>
      <c r="AC54" s="126">
        <f t="shared" si="34"/>
        <v>5000</v>
      </c>
      <c r="AD54" s="126">
        <f t="shared" si="35"/>
        <v>5000</v>
      </c>
      <c r="AE54" s="126">
        <f t="shared" si="36"/>
        <v>5000</v>
      </c>
      <c r="AF54" s="126">
        <f t="shared" si="37"/>
        <v>5000</v>
      </c>
      <c r="AG54" s="126">
        <f t="shared" si="38"/>
        <v>5000</v>
      </c>
      <c r="AH54" s="126">
        <f t="shared" si="39"/>
        <v>5000</v>
      </c>
      <c r="AI54" s="126">
        <f t="shared" si="40"/>
        <v>5000</v>
      </c>
      <c r="AJ54" s="128">
        <f t="shared" si="41"/>
        <v>5000</v>
      </c>
      <c r="AK54" s="129">
        <f t="shared" si="42"/>
        <v>60000</v>
      </c>
    </row>
    <row r="55" spans="1:37">
      <c r="A55" s="133" t="s">
        <v>140</v>
      </c>
      <c r="B55" s="86">
        <f>Лист2!B24</f>
        <v>1000</v>
      </c>
      <c r="C55" s="86">
        <f>Лист2!C24</f>
        <v>1000</v>
      </c>
      <c r="D55" s="86">
        <f>Лист2!D24</f>
        <v>1000</v>
      </c>
      <c r="E55" s="86">
        <f>Лист2!E24</f>
        <v>1000</v>
      </c>
      <c r="F55" s="86">
        <f>Лист2!F24</f>
        <v>1000</v>
      </c>
      <c r="G55" s="86">
        <f>Лист2!G24</f>
        <v>1000</v>
      </c>
      <c r="H55" s="86">
        <f>Лист2!H24</f>
        <v>1000</v>
      </c>
      <c r="I55" s="86">
        <f>Лист2!I24</f>
        <v>1000</v>
      </c>
      <c r="J55" s="97">
        <f>Лист2!J24</f>
        <v>1000</v>
      </c>
      <c r="K55" s="125">
        <f t="shared" si="44"/>
        <v>9000</v>
      </c>
      <c r="L55" s="96">
        <f>Лист2!L24</f>
        <v>0</v>
      </c>
      <c r="M55" s="86">
        <f>Лист2!M24</f>
        <v>0</v>
      </c>
      <c r="N55" s="86">
        <f>Лист2!N24</f>
        <v>0</v>
      </c>
      <c r="O55" s="86">
        <f>Лист2!O24</f>
        <v>0</v>
      </c>
      <c r="P55" s="86">
        <f>Лист2!P24</f>
        <v>0</v>
      </c>
      <c r="Q55" s="86">
        <f>Лист2!Q24</f>
        <v>0</v>
      </c>
      <c r="R55" s="86">
        <f>Лист2!R24</f>
        <v>0</v>
      </c>
      <c r="S55" s="86">
        <f>Лист2!S24</f>
        <v>0</v>
      </c>
      <c r="T55" s="86">
        <f>Лист2!T24</f>
        <v>0</v>
      </c>
      <c r="U55" s="86">
        <f>Лист2!U24</f>
        <v>0</v>
      </c>
      <c r="V55" s="86">
        <f>Лист2!V24</f>
        <v>0</v>
      </c>
      <c r="W55" s="97">
        <f>Лист2!W24</f>
        <v>0</v>
      </c>
      <c r="X55" s="125">
        <f t="shared" si="46"/>
        <v>0</v>
      </c>
      <c r="Y55" s="126">
        <f t="shared" si="30"/>
        <v>0</v>
      </c>
      <c r="Z55" s="126">
        <f t="shared" si="31"/>
        <v>0</v>
      </c>
      <c r="AA55" s="126">
        <f t="shared" si="32"/>
        <v>0</v>
      </c>
      <c r="AB55" s="126">
        <f t="shared" si="33"/>
        <v>0</v>
      </c>
      <c r="AC55" s="126">
        <f t="shared" si="34"/>
        <v>0</v>
      </c>
      <c r="AD55" s="126">
        <f t="shared" si="35"/>
        <v>0</v>
      </c>
      <c r="AE55" s="126">
        <f t="shared" si="36"/>
        <v>0</v>
      </c>
      <c r="AF55" s="126">
        <f t="shared" si="37"/>
        <v>0</v>
      </c>
      <c r="AG55" s="126">
        <f t="shared" si="38"/>
        <v>0</v>
      </c>
      <c r="AH55" s="126">
        <f t="shared" si="39"/>
        <v>0</v>
      </c>
      <c r="AI55" s="126">
        <f t="shared" si="40"/>
        <v>0</v>
      </c>
      <c r="AJ55" s="128">
        <f t="shared" si="41"/>
        <v>0</v>
      </c>
      <c r="AK55" s="129">
        <f t="shared" si="42"/>
        <v>0</v>
      </c>
    </row>
    <row r="56" spans="1:37">
      <c r="A56" s="133" t="s">
        <v>141</v>
      </c>
      <c r="B56" s="86">
        <f>Лист2!B25</f>
        <v>5000</v>
      </c>
      <c r="C56" s="86">
        <f>Лист2!C25</f>
        <v>5000</v>
      </c>
      <c r="D56" s="86">
        <f>Лист2!D25</f>
        <v>5000</v>
      </c>
      <c r="E56" s="86">
        <f>Лист2!E25</f>
        <v>5000</v>
      </c>
      <c r="F56" s="86">
        <f>Лист2!F25</f>
        <v>5000</v>
      </c>
      <c r="G56" s="86">
        <f>Лист2!G25</f>
        <v>5000</v>
      </c>
      <c r="H56" s="86">
        <f>Лист2!H25</f>
        <v>5000</v>
      </c>
      <c r="I56" s="86">
        <f>Лист2!I25</f>
        <v>5000</v>
      </c>
      <c r="J56" s="97">
        <f>Лист2!J25</f>
        <v>5000</v>
      </c>
      <c r="K56" s="125">
        <f t="shared" si="44"/>
        <v>45000</v>
      </c>
      <c r="L56" s="96">
        <f>Лист2!L25</f>
        <v>5000</v>
      </c>
      <c r="M56" s="86">
        <f>Лист2!M25</f>
        <v>5000</v>
      </c>
      <c r="N56" s="86">
        <f>Лист2!N25</f>
        <v>5000</v>
      </c>
      <c r="O56" s="86">
        <f>Лист2!O25</f>
        <v>5000</v>
      </c>
      <c r="P56" s="86">
        <f>Лист2!P25</f>
        <v>5000</v>
      </c>
      <c r="Q56" s="86">
        <f>Лист2!Q25</f>
        <v>5000</v>
      </c>
      <c r="R56" s="86">
        <f>Лист2!R25</f>
        <v>5000</v>
      </c>
      <c r="S56" s="86">
        <f>Лист2!S25</f>
        <v>5000</v>
      </c>
      <c r="T56" s="86">
        <f>Лист2!T25</f>
        <v>5000</v>
      </c>
      <c r="U56" s="86">
        <f>Лист2!U25</f>
        <v>5000</v>
      </c>
      <c r="V56" s="86">
        <f>Лист2!V25</f>
        <v>5000</v>
      </c>
      <c r="W56" s="97">
        <f>Лист2!W25</f>
        <v>5000</v>
      </c>
      <c r="X56" s="125">
        <f t="shared" si="46"/>
        <v>60000</v>
      </c>
      <c r="Y56" s="126">
        <f t="shared" si="30"/>
        <v>5000</v>
      </c>
      <c r="Z56" s="126">
        <f t="shared" si="31"/>
        <v>5000</v>
      </c>
      <c r="AA56" s="126">
        <f t="shared" si="32"/>
        <v>5000</v>
      </c>
      <c r="AB56" s="126">
        <f t="shared" si="33"/>
        <v>5000</v>
      </c>
      <c r="AC56" s="126">
        <f t="shared" si="34"/>
        <v>5000</v>
      </c>
      <c r="AD56" s="126">
        <f t="shared" si="35"/>
        <v>5000</v>
      </c>
      <c r="AE56" s="126">
        <f t="shared" si="36"/>
        <v>5000</v>
      </c>
      <c r="AF56" s="126">
        <f t="shared" si="37"/>
        <v>5000</v>
      </c>
      <c r="AG56" s="126">
        <f t="shared" si="38"/>
        <v>5000</v>
      </c>
      <c r="AH56" s="126">
        <f t="shared" si="39"/>
        <v>5000</v>
      </c>
      <c r="AI56" s="126">
        <f t="shared" si="40"/>
        <v>5000</v>
      </c>
      <c r="AJ56" s="128">
        <f t="shared" si="41"/>
        <v>5000</v>
      </c>
      <c r="AK56" s="129">
        <f t="shared" si="42"/>
        <v>60000</v>
      </c>
    </row>
    <row r="57" spans="1:37">
      <c r="A57" s="133" t="s">
        <v>155</v>
      </c>
      <c r="B57" s="86">
        <f t="shared" ref="B57:J57" si="47">B35</f>
        <v>0</v>
      </c>
      <c r="C57" s="86">
        <f t="shared" si="47"/>
        <v>0</v>
      </c>
      <c r="D57" s="86">
        <f t="shared" si="47"/>
        <v>0</v>
      </c>
      <c r="E57" s="86">
        <f t="shared" si="47"/>
        <v>0</v>
      </c>
      <c r="F57" s="86">
        <f t="shared" si="47"/>
        <v>0</v>
      </c>
      <c r="G57" s="86">
        <f t="shared" si="47"/>
        <v>0</v>
      </c>
      <c r="H57" s="86">
        <f t="shared" si="47"/>
        <v>0</v>
      </c>
      <c r="I57" s="86">
        <f t="shared" si="47"/>
        <v>0</v>
      </c>
      <c r="J57" s="97">
        <f t="shared" si="47"/>
        <v>0</v>
      </c>
      <c r="K57" s="125">
        <f t="shared" si="44"/>
        <v>0</v>
      </c>
      <c r="L57" s="96">
        <f t="shared" ref="L57:W57" si="48">L35</f>
        <v>0</v>
      </c>
      <c r="M57" s="86">
        <f t="shared" si="48"/>
        <v>0</v>
      </c>
      <c r="N57" s="86">
        <f t="shared" si="48"/>
        <v>0</v>
      </c>
      <c r="O57" s="86">
        <f t="shared" si="48"/>
        <v>0</v>
      </c>
      <c r="P57" s="86">
        <f t="shared" si="48"/>
        <v>0</v>
      </c>
      <c r="Q57" s="86">
        <f t="shared" si="48"/>
        <v>0</v>
      </c>
      <c r="R57" s="86">
        <f t="shared" si="48"/>
        <v>0</v>
      </c>
      <c r="S57" s="86">
        <f t="shared" si="48"/>
        <v>0</v>
      </c>
      <c r="T57" s="86">
        <f t="shared" si="48"/>
        <v>0</v>
      </c>
      <c r="U57" s="86">
        <f t="shared" si="48"/>
        <v>0</v>
      </c>
      <c r="V57" s="86">
        <f t="shared" si="48"/>
        <v>0</v>
      </c>
      <c r="W57" s="97">
        <f t="shared" si="48"/>
        <v>0</v>
      </c>
      <c r="X57" s="125">
        <f t="shared" si="46"/>
        <v>0</v>
      </c>
      <c r="Y57" s="126">
        <f t="shared" si="30"/>
        <v>0</v>
      </c>
      <c r="Z57" s="126">
        <f t="shared" si="31"/>
        <v>0</v>
      </c>
      <c r="AA57" s="126">
        <f t="shared" si="32"/>
        <v>0</v>
      </c>
      <c r="AB57" s="126">
        <f t="shared" si="33"/>
        <v>0</v>
      </c>
      <c r="AC57" s="126">
        <f t="shared" si="34"/>
        <v>0</v>
      </c>
      <c r="AD57" s="126">
        <f t="shared" si="35"/>
        <v>0</v>
      </c>
      <c r="AE57" s="126">
        <f t="shared" si="36"/>
        <v>0</v>
      </c>
      <c r="AF57" s="126">
        <f t="shared" si="37"/>
        <v>0</v>
      </c>
      <c r="AG57" s="126">
        <f t="shared" si="38"/>
        <v>0</v>
      </c>
      <c r="AH57" s="126">
        <f t="shared" si="39"/>
        <v>0</v>
      </c>
      <c r="AI57" s="126">
        <f t="shared" si="40"/>
        <v>0</v>
      </c>
      <c r="AJ57" s="128">
        <f t="shared" si="41"/>
        <v>0</v>
      </c>
      <c r="AK57" s="129">
        <f t="shared" si="42"/>
        <v>0</v>
      </c>
    </row>
    <row r="58" spans="1:37">
      <c r="A58" s="133" t="s">
        <v>156</v>
      </c>
      <c r="B58" s="86">
        <f t="shared" ref="B58:J58" si="49">B31</f>
        <v>0</v>
      </c>
      <c r="C58" s="86">
        <f t="shared" si="49"/>
        <v>0</v>
      </c>
      <c r="D58" s="86">
        <f t="shared" si="49"/>
        <v>0</v>
      </c>
      <c r="E58" s="86">
        <f t="shared" si="49"/>
        <v>0</v>
      </c>
      <c r="F58" s="86">
        <f t="shared" si="49"/>
        <v>0</v>
      </c>
      <c r="G58" s="86">
        <f t="shared" si="49"/>
        <v>0</v>
      </c>
      <c r="H58" s="86">
        <f t="shared" si="49"/>
        <v>0</v>
      </c>
      <c r="I58" s="86">
        <f t="shared" si="49"/>
        <v>0</v>
      </c>
      <c r="J58" s="97">
        <f t="shared" si="49"/>
        <v>0</v>
      </c>
      <c r="K58" s="125">
        <f t="shared" si="44"/>
        <v>0</v>
      </c>
      <c r="L58" s="96">
        <f t="shared" ref="L58:W58" si="50">L31</f>
        <v>0</v>
      </c>
      <c r="M58" s="86">
        <f t="shared" si="50"/>
        <v>0</v>
      </c>
      <c r="N58" s="86">
        <f t="shared" si="50"/>
        <v>0</v>
      </c>
      <c r="O58" s="86">
        <f t="shared" si="50"/>
        <v>0</v>
      </c>
      <c r="P58" s="86">
        <f t="shared" si="50"/>
        <v>0</v>
      </c>
      <c r="Q58" s="86">
        <f t="shared" si="50"/>
        <v>0</v>
      </c>
      <c r="R58" s="86">
        <f t="shared" si="50"/>
        <v>0</v>
      </c>
      <c r="S58" s="86">
        <f t="shared" si="50"/>
        <v>0</v>
      </c>
      <c r="T58" s="86">
        <f t="shared" si="50"/>
        <v>0</v>
      </c>
      <c r="U58" s="86">
        <f t="shared" si="50"/>
        <v>0</v>
      </c>
      <c r="V58" s="86">
        <f t="shared" si="50"/>
        <v>0</v>
      </c>
      <c r="W58" s="97">
        <f t="shared" si="50"/>
        <v>0</v>
      </c>
      <c r="X58" s="125">
        <f t="shared" si="46"/>
        <v>0</v>
      </c>
      <c r="Y58" s="126">
        <f t="shared" si="30"/>
        <v>0</v>
      </c>
      <c r="Z58" s="126">
        <f t="shared" si="31"/>
        <v>0</v>
      </c>
      <c r="AA58" s="126">
        <f t="shared" si="32"/>
        <v>0</v>
      </c>
      <c r="AB58" s="126">
        <f t="shared" si="33"/>
        <v>0</v>
      </c>
      <c r="AC58" s="126">
        <f t="shared" si="34"/>
        <v>0</v>
      </c>
      <c r="AD58" s="126">
        <f t="shared" si="35"/>
        <v>0</v>
      </c>
      <c r="AE58" s="126">
        <f t="shared" si="36"/>
        <v>0</v>
      </c>
      <c r="AF58" s="126">
        <f t="shared" si="37"/>
        <v>0</v>
      </c>
      <c r="AG58" s="126">
        <f t="shared" si="38"/>
        <v>0</v>
      </c>
      <c r="AH58" s="126">
        <f t="shared" si="39"/>
        <v>0</v>
      </c>
      <c r="AI58" s="126">
        <f t="shared" si="40"/>
        <v>0</v>
      </c>
      <c r="AJ58" s="128">
        <f t="shared" si="41"/>
        <v>0</v>
      </c>
      <c r="AK58" s="129">
        <f t="shared" si="42"/>
        <v>0</v>
      </c>
    </row>
    <row r="59" spans="1:37">
      <c r="A59" s="138" t="s">
        <v>142</v>
      </c>
      <c r="B59" s="95">
        <f t="shared" ref="B59:X59" si="51">B50-B51</f>
        <v>-16827.8</v>
      </c>
      <c r="C59" s="95">
        <f t="shared" si="51"/>
        <v>-13633.45</v>
      </c>
      <c r="D59" s="95">
        <f t="shared" si="51"/>
        <v>-12917</v>
      </c>
      <c r="E59" s="95">
        <f t="shared" si="51"/>
        <v>-18889.5</v>
      </c>
      <c r="F59" s="95">
        <f t="shared" si="51"/>
        <v>-19800.900000000001</v>
      </c>
      <c r="G59" s="95">
        <f t="shared" si="51"/>
        <v>-27154.400000000001</v>
      </c>
      <c r="H59" s="95">
        <f t="shared" si="51"/>
        <v>-47510.560000000005</v>
      </c>
      <c r="I59" s="95">
        <f t="shared" si="51"/>
        <v>203693.2</v>
      </c>
      <c r="J59" s="103">
        <f t="shared" si="51"/>
        <v>-34599.06</v>
      </c>
      <c r="K59" s="118">
        <f t="shared" si="51"/>
        <v>12360.530000000028</v>
      </c>
      <c r="L59" s="109">
        <f t="shared" si="51"/>
        <v>90320.54</v>
      </c>
      <c r="M59" s="95">
        <f t="shared" si="51"/>
        <v>90495.92</v>
      </c>
      <c r="N59" s="95">
        <f t="shared" si="51"/>
        <v>-15211.41</v>
      </c>
      <c r="O59" s="95">
        <f t="shared" si="51"/>
        <v>-16646.8</v>
      </c>
      <c r="P59" s="95">
        <f t="shared" si="51"/>
        <v>-23374.95</v>
      </c>
      <c r="Q59" s="95">
        <f t="shared" si="51"/>
        <v>-19372</v>
      </c>
      <c r="R59" s="95">
        <f t="shared" si="51"/>
        <v>-30171.699999999997</v>
      </c>
      <c r="S59" s="95">
        <f t="shared" si="51"/>
        <v>205255.1</v>
      </c>
      <c r="T59" s="95">
        <f t="shared" si="51"/>
        <v>-26276.799999999999</v>
      </c>
      <c r="U59" s="95">
        <f t="shared" si="51"/>
        <v>-46510.560000000005</v>
      </c>
      <c r="V59" s="95">
        <f t="shared" si="51"/>
        <v>204693.2</v>
      </c>
      <c r="W59" s="103">
        <f t="shared" si="51"/>
        <v>-33599.06</v>
      </c>
      <c r="X59" s="203">
        <f t="shared" si="51"/>
        <v>379601.48</v>
      </c>
      <c r="Y59" s="109">
        <f t="shared" si="30"/>
        <v>90320.54</v>
      </c>
      <c r="Z59" s="109">
        <f t="shared" si="31"/>
        <v>90495.92</v>
      </c>
      <c r="AA59" s="109">
        <f t="shared" si="32"/>
        <v>-15211.41</v>
      </c>
      <c r="AB59" s="109">
        <f t="shared" si="33"/>
        <v>-16646.8</v>
      </c>
      <c r="AC59" s="109">
        <f t="shared" si="34"/>
        <v>-23374.95</v>
      </c>
      <c r="AD59" s="109">
        <f t="shared" si="35"/>
        <v>-19372</v>
      </c>
      <c r="AE59" s="109">
        <f t="shared" si="36"/>
        <v>-30171.699999999997</v>
      </c>
      <c r="AF59" s="109">
        <f t="shared" si="37"/>
        <v>205255.1</v>
      </c>
      <c r="AG59" s="109">
        <f t="shared" si="38"/>
        <v>-26276.799999999999</v>
      </c>
      <c r="AH59" s="109">
        <f t="shared" si="39"/>
        <v>-46510.560000000005</v>
      </c>
      <c r="AI59" s="109">
        <f t="shared" si="40"/>
        <v>204693.2</v>
      </c>
      <c r="AJ59" s="127">
        <f t="shared" si="41"/>
        <v>-33599.06</v>
      </c>
      <c r="AK59" s="203">
        <f t="shared" si="42"/>
        <v>379601.48000000004</v>
      </c>
    </row>
    <row r="60" spans="1:37">
      <c r="A60" s="237" t="s">
        <v>193</v>
      </c>
      <c r="B60" s="90">
        <f>-(L19)</f>
        <v>476933.61</v>
      </c>
      <c r="C60" s="90">
        <f t="shared" ref="C60:H60" si="52">C61</f>
        <v>0</v>
      </c>
      <c r="D60" s="90">
        <f t="shared" si="52"/>
        <v>0</v>
      </c>
      <c r="E60" s="90">
        <f t="shared" si="52"/>
        <v>0</v>
      </c>
      <c r="F60" s="90">
        <f t="shared" si="52"/>
        <v>0</v>
      </c>
      <c r="G60" s="90">
        <f t="shared" si="52"/>
        <v>0</v>
      </c>
      <c r="H60" s="90">
        <f t="shared" si="52"/>
        <v>0</v>
      </c>
      <c r="I60" s="86">
        <v>0</v>
      </c>
      <c r="J60" s="97">
        <v>0</v>
      </c>
      <c r="K60" s="114">
        <f>SUM(B60:J60)</f>
        <v>476933.61</v>
      </c>
      <c r="L60" s="9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97">
        <v>0</v>
      </c>
      <c r="X60" s="112">
        <v>0</v>
      </c>
      <c r="Y60" s="126">
        <f t="shared" si="30"/>
        <v>0</v>
      </c>
      <c r="Z60" s="126">
        <f t="shared" si="31"/>
        <v>0</v>
      </c>
      <c r="AA60" s="126">
        <f t="shared" si="32"/>
        <v>0</v>
      </c>
      <c r="AB60" s="126">
        <f t="shared" si="33"/>
        <v>0</v>
      </c>
      <c r="AC60" s="126">
        <f t="shared" si="34"/>
        <v>0</v>
      </c>
      <c r="AD60" s="126">
        <f t="shared" si="35"/>
        <v>0</v>
      </c>
      <c r="AE60" s="126">
        <f t="shared" si="36"/>
        <v>0</v>
      </c>
      <c r="AF60" s="126">
        <f t="shared" si="37"/>
        <v>0</v>
      </c>
      <c r="AG60" s="126">
        <f t="shared" si="38"/>
        <v>0</v>
      </c>
      <c r="AH60" s="126">
        <f t="shared" si="39"/>
        <v>0</v>
      </c>
      <c r="AI60" s="126">
        <f t="shared" si="40"/>
        <v>0</v>
      </c>
      <c r="AJ60" s="128">
        <f t="shared" si="41"/>
        <v>0</v>
      </c>
      <c r="AK60" s="129">
        <f t="shared" si="42"/>
        <v>0</v>
      </c>
    </row>
    <row r="61" spans="1:37">
      <c r="A61" s="139" t="s">
        <v>143</v>
      </c>
      <c r="B61" s="90">
        <f t="shared" ref="B61:H61" si="53">B62+B63</f>
        <v>320200</v>
      </c>
      <c r="C61" s="90">
        <f t="shared" si="53"/>
        <v>0</v>
      </c>
      <c r="D61" s="90">
        <f t="shared" si="53"/>
        <v>0</v>
      </c>
      <c r="E61" s="90">
        <f t="shared" si="53"/>
        <v>0</v>
      </c>
      <c r="F61" s="90">
        <f t="shared" si="53"/>
        <v>0</v>
      </c>
      <c r="G61" s="90">
        <f t="shared" si="53"/>
        <v>0</v>
      </c>
      <c r="H61" s="90">
        <f t="shared" si="53"/>
        <v>0</v>
      </c>
      <c r="I61" s="86">
        <v>0</v>
      </c>
      <c r="J61" s="97">
        <v>0</v>
      </c>
      <c r="K61" s="114">
        <f>SUM(B61:J61)</f>
        <v>320200</v>
      </c>
      <c r="L61" s="96">
        <v>0</v>
      </c>
      <c r="M61" s="86">
        <v>0</v>
      </c>
      <c r="N61" s="86">
        <v>0</v>
      </c>
      <c r="O61" s="86">
        <v>0</v>
      </c>
      <c r="P61" s="86">
        <v>0</v>
      </c>
      <c r="Q61" s="86">
        <v>0</v>
      </c>
      <c r="R61" s="86">
        <v>0</v>
      </c>
      <c r="S61" s="86"/>
      <c r="T61" s="86">
        <v>0</v>
      </c>
      <c r="U61" s="86">
        <v>0</v>
      </c>
      <c r="V61" s="86">
        <v>0</v>
      </c>
      <c r="W61" s="97">
        <v>0</v>
      </c>
      <c r="X61" s="112">
        <v>0</v>
      </c>
      <c r="Y61" s="126">
        <f t="shared" si="30"/>
        <v>0</v>
      </c>
      <c r="Z61" s="126">
        <f t="shared" si="31"/>
        <v>0</v>
      </c>
      <c r="AA61" s="126">
        <f t="shared" si="32"/>
        <v>0</v>
      </c>
      <c r="AB61" s="126">
        <f t="shared" si="33"/>
        <v>0</v>
      </c>
      <c r="AC61" s="126">
        <f t="shared" si="34"/>
        <v>0</v>
      </c>
      <c r="AD61" s="126">
        <f t="shared" si="35"/>
        <v>0</v>
      </c>
      <c r="AE61" s="126">
        <f t="shared" si="36"/>
        <v>0</v>
      </c>
      <c r="AF61" s="126">
        <f t="shared" si="37"/>
        <v>0</v>
      </c>
      <c r="AG61" s="126">
        <f t="shared" si="38"/>
        <v>0</v>
      </c>
      <c r="AH61" s="126">
        <f t="shared" si="39"/>
        <v>0</v>
      </c>
      <c r="AI61" s="126">
        <f t="shared" si="40"/>
        <v>0</v>
      </c>
      <c r="AJ61" s="128">
        <f t="shared" si="41"/>
        <v>0</v>
      </c>
      <c r="AK61" s="129">
        <f t="shared" si="42"/>
        <v>0</v>
      </c>
    </row>
    <row r="62" spans="1:37">
      <c r="A62" s="140" t="s">
        <v>154</v>
      </c>
      <c r="B62" s="90">
        <f>D18+L17</f>
        <v>320200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s="97">
        <v>0</v>
      </c>
      <c r="K62" s="114">
        <f>SUM(B62:J62)</f>
        <v>320200</v>
      </c>
      <c r="L62" s="96">
        <v>0</v>
      </c>
      <c r="M62" s="86">
        <v>0</v>
      </c>
      <c r="N62" s="86">
        <v>0</v>
      </c>
      <c r="O62" s="86">
        <v>0</v>
      </c>
      <c r="P62" s="86">
        <v>0</v>
      </c>
      <c r="Q62" s="86">
        <v>0</v>
      </c>
      <c r="R62" s="86">
        <v>0</v>
      </c>
      <c r="S62" s="86">
        <v>0</v>
      </c>
      <c r="T62" s="86">
        <v>0</v>
      </c>
      <c r="U62" s="86">
        <v>0</v>
      </c>
      <c r="V62" s="86">
        <v>0</v>
      </c>
      <c r="W62" s="97">
        <v>0</v>
      </c>
      <c r="X62" s="112">
        <v>0</v>
      </c>
      <c r="Y62" s="126">
        <f t="shared" si="30"/>
        <v>0</v>
      </c>
      <c r="Z62" s="126">
        <f t="shared" si="31"/>
        <v>0</v>
      </c>
      <c r="AA62" s="126">
        <f t="shared" si="32"/>
        <v>0</v>
      </c>
      <c r="AB62" s="126">
        <f t="shared" si="33"/>
        <v>0</v>
      </c>
      <c r="AC62" s="126">
        <f t="shared" si="34"/>
        <v>0</v>
      </c>
      <c r="AD62" s="126">
        <f t="shared" si="35"/>
        <v>0</v>
      </c>
      <c r="AE62" s="126">
        <f t="shared" si="36"/>
        <v>0</v>
      </c>
      <c r="AF62" s="126">
        <f t="shared" si="37"/>
        <v>0</v>
      </c>
      <c r="AG62" s="126">
        <f t="shared" si="38"/>
        <v>0</v>
      </c>
      <c r="AH62" s="126">
        <f t="shared" si="39"/>
        <v>0</v>
      </c>
      <c r="AI62" s="126">
        <f t="shared" si="40"/>
        <v>0</v>
      </c>
      <c r="AJ62" s="128">
        <f t="shared" si="41"/>
        <v>0</v>
      </c>
      <c r="AK62" s="129">
        <f t="shared" si="42"/>
        <v>0</v>
      </c>
    </row>
    <row r="63" spans="1:37">
      <c r="A63" s="140"/>
      <c r="B63" s="90"/>
      <c r="C63" s="90"/>
      <c r="D63" s="90"/>
      <c r="E63" s="90"/>
      <c r="F63" s="90"/>
      <c r="G63" s="90"/>
      <c r="H63" s="90"/>
      <c r="I63" s="86"/>
      <c r="J63" s="97"/>
      <c r="K63" s="114"/>
      <c r="L63" s="9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97"/>
      <c r="X63" s="112"/>
      <c r="Y63" s="126"/>
      <c r="Z63" s="126"/>
      <c r="AA63" s="126"/>
      <c r="AB63" s="126"/>
      <c r="AC63" s="126">
        <f t="shared" si="34"/>
        <v>0</v>
      </c>
      <c r="AD63" s="126"/>
      <c r="AE63" s="126"/>
      <c r="AF63" s="126"/>
      <c r="AG63" s="126"/>
      <c r="AH63" s="126"/>
      <c r="AI63" s="126"/>
      <c r="AJ63" s="128"/>
      <c r="AK63" s="129"/>
    </row>
    <row r="64" spans="1:37">
      <c r="A64" s="138" t="s">
        <v>144</v>
      </c>
      <c r="B64" s="95">
        <f t="shared" ref="B64:K64" si="54">B60-B61</f>
        <v>156733.60999999999</v>
      </c>
      <c r="C64" s="95">
        <f t="shared" si="54"/>
        <v>0</v>
      </c>
      <c r="D64" s="95">
        <f t="shared" si="54"/>
        <v>0</v>
      </c>
      <c r="E64" s="95">
        <f t="shared" si="54"/>
        <v>0</v>
      </c>
      <c r="F64" s="95">
        <f t="shared" si="54"/>
        <v>0</v>
      </c>
      <c r="G64" s="95">
        <f t="shared" si="54"/>
        <v>0</v>
      </c>
      <c r="H64" s="95">
        <f t="shared" si="54"/>
        <v>0</v>
      </c>
      <c r="I64" s="95">
        <f t="shared" si="54"/>
        <v>0</v>
      </c>
      <c r="J64" s="103">
        <f t="shared" si="54"/>
        <v>0</v>
      </c>
      <c r="K64" s="118">
        <f t="shared" si="54"/>
        <v>156733.60999999999</v>
      </c>
      <c r="L64" s="107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101">
        <v>0</v>
      </c>
      <c r="X64" s="115">
        <v>0</v>
      </c>
      <c r="Y64" s="109">
        <f t="shared" si="30"/>
        <v>0</v>
      </c>
      <c r="Z64" s="109">
        <f t="shared" si="31"/>
        <v>0</v>
      </c>
      <c r="AA64" s="109">
        <f t="shared" si="32"/>
        <v>0</v>
      </c>
      <c r="AB64" s="109">
        <f t="shared" si="33"/>
        <v>0</v>
      </c>
      <c r="AC64" s="109">
        <f t="shared" si="34"/>
        <v>0</v>
      </c>
      <c r="AD64" s="109">
        <f t="shared" si="35"/>
        <v>0</v>
      </c>
      <c r="AE64" s="109">
        <f t="shared" si="36"/>
        <v>0</v>
      </c>
      <c r="AF64" s="109">
        <f t="shared" si="37"/>
        <v>0</v>
      </c>
      <c r="AG64" s="109">
        <f t="shared" si="38"/>
        <v>0</v>
      </c>
      <c r="AH64" s="109">
        <f t="shared" si="39"/>
        <v>0</v>
      </c>
      <c r="AI64" s="109">
        <f t="shared" si="40"/>
        <v>0</v>
      </c>
      <c r="AJ64" s="127">
        <f t="shared" si="41"/>
        <v>0</v>
      </c>
      <c r="AK64" s="118">
        <f t="shared" ref="AK64:AK70" si="55">SUM(Y64:AJ64)</f>
        <v>0</v>
      </c>
    </row>
    <row r="65" spans="1:37">
      <c r="A65" s="139" t="s">
        <v>145</v>
      </c>
      <c r="B65" s="94">
        <f t="shared" ref="B65:J65" si="56">B66+B67</f>
        <v>0</v>
      </c>
      <c r="C65" s="94">
        <f t="shared" si="56"/>
        <v>0</v>
      </c>
      <c r="D65" s="94">
        <f t="shared" si="56"/>
        <v>0</v>
      </c>
      <c r="E65" s="94">
        <f t="shared" si="56"/>
        <v>0</v>
      </c>
      <c r="F65" s="94">
        <f t="shared" si="56"/>
        <v>0</v>
      </c>
      <c r="G65" s="94">
        <f t="shared" si="56"/>
        <v>0</v>
      </c>
      <c r="H65" s="94">
        <f t="shared" si="56"/>
        <v>0</v>
      </c>
      <c r="I65" s="94">
        <f t="shared" si="56"/>
        <v>0</v>
      </c>
      <c r="J65" s="102">
        <f t="shared" si="56"/>
        <v>0</v>
      </c>
      <c r="K65" s="117">
        <f>SUM(B65:J65)</f>
        <v>0</v>
      </c>
      <c r="L65" s="108">
        <f t="shared" ref="L65:W65" si="57">L66+L67</f>
        <v>0</v>
      </c>
      <c r="M65" s="94">
        <f t="shared" si="57"/>
        <v>0</v>
      </c>
      <c r="N65" s="94">
        <f t="shared" si="57"/>
        <v>0</v>
      </c>
      <c r="O65" s="94">
        <f t="shared" si="57"/>
        <v>0</v>
      </c>
      <c r="P65" s="94">
        <f t="shared" si="57"/>
        <v>0</v>
      </c>
      <c r="Q65" s="94">
        <f t="shared" si="57"/>
        <v>0</v>
      </c>
      <c r="R65" s="94">
        <f t="shared" si="57"/>
        <v>0</v>
      </c>
      <c r="S65" s="94">
        <f t="shared" si="57"/>
        <v>0</v>
      </c>
      <c r="T65" s="94">
        <f t="shared" si="57"/>
        <v>0</v>
      </c>
      <c r="U65" s="94">
        <f t="shared" si="57"/>
        <v>0</v>
      </c>
      <c r="V65" s="94">
        <f t="shared" si="57"/>
        <v>0</v>
      </c>
      <c r="W65" s="102">
        <f t="shared" si="57"/>
        <v>0</v>
      </c>
      <c r="X65" s="117">
        <f t="shared" ref="X65:X70" si="58">SUM(L65:W65)</f>
        <v>0</v>
      </c>
      <c r="Y65" s="126">
        <f t="shared" si="30"/>
        <v>0</v>
      </c>
      <c r="Z65" s="126">
        <f t="shared" si="31"/>
        <v>0</v>
      </c>
      <c r="AA65" s="126">
        <f t="shared" si="32"/>
        <v>0</v>
      </c>
      <c r="AB65" s="126">
        <f t="shared" si="33"/>
        <v>0</v>
      </c>
      <c r="AC65" s="126">
        <f t="shared" si="34"/>
        <v>0</v>
      </c>
      <c r="AD65" s="126">
        <f t="shared" si="35"/>
        <v>0</v>
      </c>
      <c r="AE65" s="126">
        <f t="shared" si="36"/>
        <v>0</v>
      </c>
      <c r="AF65" s="126">
        <f t="shared" si="37"/>
        <v>0</v>
      </c>
      <c r="AG65" s="126">
        <f t="shared" si="38"/>
        <v>0</v>
      </c>
      <c r="AH65" s="126">
        <f t="shared" si="39"/>
        <v>0</v>
      </c>
      <c r="AI65" s="126">
        <f t="shared" si="40"/>
        <v>0</v>
      </c>
      <c r="AJ65" s="128">
        <f t="shared" si="41"/>
        <v>0</v>
      </c>
      <c r="AK65" s="129">
        <f t="shared" si="55"/>
        <v>0</v>
      </c>
    </row>
    <row r="66" spans="1:37">
      <c r="A66" s="133" t="s">
        <v>146</v>
      </c>
      <c r="B66" s="86"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97">
        <v>0</v>
      </c>
      <c r="K66" s="112">
        <f>SUM(B66:J66)</f>
        <v>0</v>
      </c>
      <c r="L66" s="9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6">
        <v>0</v>
      </c>
      <c r="S66" s="86">
        <v>0</v>
      </c>
      <c r="T66" s="86">
        <v>0</v>
      </c>
      <c r="U66" s="86">
        <v>0</v>
      </c>
      <c r="V66" s="86">
        <v>0</v>
      </c>
      <c r="W66" s="97">
        <v>0</v>
      </c>
      <c r="X66" s="112">
        <f t="shared" si="58"/>
        <v>0</v>
      </c>
      <c r="Y66" s="126">
        <f t="shared" si="30"/>
        <v>0</v>
      </c>
      <c r="Z66" s="126">
        <f t="shared" si="31"/>
        <v>0</v>
      </c>
      <c r="AA66" s="126">
        <f t="shared" si="32"/>
        <v>0</v>
      </c>
      <c r="AB66" s="126">
        <f t="shared" si="33"/>
        <v>0</v>
      </c>
      <c r="AC66" s="126">
        <f t="shared" si="34"/>
        <v>0</v>
      </c>
      <c r="AD66" s="126">
        <f t="shared" si="35"/>
        <v>0</v>
      </c>
      <c r="AE66" s="126">
        <f t="shared" si="36"/>
        <v>0</v>
      </c>
      <c r="AF66" s="126">
        <f t="shared" si="37"/>
        <v>0</v>
      </c>
      <c r="AG66" s="126">
        <f t="shared" si="38"/>
        <v>0</v>
      </c>
      <c r="AH66" s="126">
        <f t="shared" si="39"/>
        <v>0</v>
      </c>
      <c r="AI66" s="126">
        <f t="shared" si="40"/>
        <v>0</v>
      </c>
      <c r="AJ66" s="128">
        <f t="shared" si="41"/>
        <v>0</v>
      </c>
      <c r="AK66" s="129">
        <f t="shared" si="55"/>
        <v>0</v>
      </c>
    </row>
    <row r="67" spans="1:37">
      <c r="A67" s="133" t="s">
        <v>195</v>
      </c>
      <c r="B67" s="86">
        <v>0</v>
      </c>
      <c r="C67" s="86">
        <v>0</v>
      </c>
      <c r="D67" s="86">
        <v>0</v>
      </c>
      <c r="E67" s="86">
        <v>0</v>
      </c>
      <c r="F67" s="86">
        <v>0</v>
      </c>
      <c r="G67" s="86">
        <v>0</v>
      </c>
      <c r="H67" s="86">
        <v>0</v>
      </c>
      <c r="I67" s="86">
        <v>0</v>
      </c>
      <c r="J67" s="97">
        <v>0</v>
      </c>
      <c r="K67" s="112">
        <f>SUM(B67:J67)</f>
        <v>0</v>
      </c>
      <c r="L67" s="96">
        <v>0</v>
      </c>
      <c r="M67" s="86">
        <v>0</v>
      </c>
      <c r="N67" s="86">
        <v>0</v>
      </c>
      <c r="O67" s="86">
        <v>0</v>
      </c>
      <c r="P67" s="86">
        <v>0</v>
      </c>
      <c r="Q67" s="86">
        <v>0</v>
      </c>
      <c r="R67" s="86">
        <v>0</v>
      </c>
      <c r="S67" s="86">
        <v>0</v>
      </c>
      <c r="T67" s="86">
        <v>0</v>
      </c>
      <c r="U67" s="86">
        <v>0</v>
      </c>
      <c r="V67" s="86">
        <v>0</v>
      </c>
      <c r="W67" s="97">
        <v>0</v>
      </c>
      <c r="X67" s="112">
        <f t="shared" si="58"/>
        <v>0</v>
      </c>
      <c r="Y67" s="126">
        <f t="shared" si="30"/>
        <v>0</v>
      </c>
      <c r="Z67" s="126">
        <f t="shared" si="31"/>
        <v>0</v>
      </c>
      <c r="AA67" s="126">
        <f t="shared" si="32"/>
        <v>0</v>
      </c>
      <c r="AB67" s="126">
        <f t="shared" si="33"/>
        <v>0</v>
      </c>
      <c r="AC67" s="126">
        <f t="shared" si="34"/>
        <v>0</v>
      </c>
      <c r="AD67" s="126">
        <f t="shared" si="35"/>
        <v>0</v>
      </c>
      <c r="AE67" s="126">
        <f t="shared" si="36"/>
        <v>0</v>
      </c>
      <c r="AF67" s="126">
        <f t="shared" si="37"/>
        <v>0</v>
      </c>
      <c r="AG67" s="126">
        <f t="shared" si="38"/>
        <v>0</v>
      </c>
      <c r="AH67" s="126">
        <f t="shared" si="39"/>
        <v>0</v>
      </c>
      <c r="AI67" s="126">
        <f t="shared" si="40"/>
        <v>0</v>
      </c>
      <c r="AJ67" s="128">
        <f t="shared" si="41"/>
        <v>0</v>
      </c>
      <c r="AK67" s="129">
        <f t="shared" si="55"/>
        <v>0</v>
      </c>
    </row>
    <row r="68" spans="1:37">
      <c r="A68" s="139" t="s">
        <v>147</v>
      </c>
      <c r="B68" s="94">
        <f t="shared" ref="B68:J68" si="59">B69</f>
        <v>0</v>
      </c>
      <c r="C68" s="94">
        <f t="shared" si="59"/>
        <v>0</v>
      </c>
      <c r="D68" s="94">
        <f t="shared" si="59"/>
        <v>0</v>
      </c>
      <c r="E68" s="94">
        <f t="shared" si="59"/>
        <v>0</v>
      </c>
      <c r="F68" s="94">
        <f t="shared" si="59"/>
        <v>0</v>
      </c>
      <c r="G68" s="94">
        <f t="shared" si="59"/>
        <v>0</v>
      </c>
      <c r="H68" s="94">
        <f t="shared" si="59"/>
        <v>0</v>
      </c>
      <c r="I68" s="94">
        <f t="shared" si="59"/>
        <v>0</v>
      </c>
      <c r="J68" s="102">
        <f t="shared" si="59"/>
        <v>0</v>
      </c>
      <c r="K68" s="117">
        <f>SUM(B68:J68)</f>
        <v>0</v>
      </c>
      <c r="L68" s="108">
        <f t="shared" ref="L68:W68" si="60">L69</f>
        <v>0</v>
      </c>
      <c r="M68" s="94">
        <f t="shared" si="60"/>
        <v>0</v>
      </c>
      <c r="N68" s="94">
        <f t="shared" si="60"/>
        <v>0</v>
      </c>
      <c r="O68" s="94">
        <f t="shared" si="60"/>
        <v>0</v>
      </c>
      <c r="P68" s="94">
        <f t="shared" si="60"/>
        <v>0</v>
      </c>
      <c r="Q68" s="94">
        <f t="shared" si="60"/>
        <v>0</v>
      </c>
      <c r="R68" s="94">
        <f t="shared" si="60"/>
        <v>0</v>
      </c>
      <c r="S68" s="94">
        <f t="shared" si="60"/>
        <v>0</v>
      </c>
      <c r="T68" s="94">
        <f t="shared" si="60"/>
        <v>0</v>
      </c>
      <c r="U68" s="94">
        <f t="shared" si="60"/>
        <v>0</v>
      </c>
      <c r="V68" s="94">
        <f t="shared" si="60"/>
        <v>0</v>
      </c>
      <c r="W68" s="102">
        <f t="shared" si="60"/>
        <v>0</v>
      </c>
      <c r="X68" s="117">
        <f t="shared" si="58"/>
        <v>0</v>
      </c>
      <c r="Y68" s="126">
        <f t="shared" si="30"/>
        <v>0</v>
      </c>
      <c r="Z68" s="126">
        <f t="shared" si="31"/>
        <v>0</v>
      </c>
      <c r="AA68" s="126">
        <f t="shared" si="32"/>
        <v>0</v>
      </c>
      <c r="AB68" s="126">
        <f t="shared" si="33"/>
        <v>0</v>
      </c>
      <c r="AC68" s="126">
        <f t="shared" si="34"/>
        <v>0</v>
      </c>
      <c r="AD68" s="126">
        <f t="shared" si="35"/>
        <v>0</v>
      </c>
      <c r="AE68" s="126">
        <f t="shared" si="36"/>
        <v>0</v>
      </c>
      <c r="AF68" s="126">
        <f t="shared" si="37"/>
        <v>0</v>
      </c>
      <c r="AG68" s="126">
        <f t="shared" si="38"/>
        <v>0</v>
      </c>
      <c r="AH68" s="126">
        <f t="shared" si="39"/>
        <v>0</v>
      </c>
      <c r="AI68" s="126">
        <f t="shared" si="40"/>
        <v>0</v>
      </c>
      <c r="AJ68" s="128">
        <f t="shared" si="41"/>
        <v>0</v>
      </c>
      <c r="AK68" s="129">
        <f t="shared" si="55"/>
        <v>0</v>
      </c>
    </row>
    <row r="69" spans="1:37">
      <c r="A69" s="133" t="s">
        <v>148</v>
      </c>
      <c r="B69" s="86">
        <v>0</v>
      </c>
      <c r="C69" s="86">
        <v>0</v>
      </c>
      <c r="D69" s="86">
        <v>0</v>
      </c>
      <c r="E69" s="86">
        <v>0</v>
      </c>
      <c r="F69" s="86">
        <v>0</v>
      </c>
      <c r="G69" s="86">
        <v>0</v>
      </c>
      <c r="H69" s="86">
        <v>0</v>
      </c>
      <c r="I69" s="86">
        <v>0</v>
      </c>
      <c r="J69" s="97">
        <f>SUM(B69:I69)</f>
        <v>0</v>
      </c>
      <c r="K69" s="112">
        <v>0</v>
      </c>
      <c r="L69" s="96">
        <v>0</v>
      </c>
      <c r="M69" s="86">
        <v>0</v>
      </c>
      <c r="N69" s="86">
        <v>0</v>
      </c>
      <c r="O69" s="86">
        <v>0</v>
      </c>
      <c r="P69" s="86">
        <v>0</v>
      </c>
      <c r="Q69" s="86">
        <v>0</v>
      </c>
      <c r="R69" s="86">
        <v>0</v>
      </c>
      <c r="S69" s="86">
        <v>0</v>
      </c>
      <c r="T69" s="86">
        <v>0</v>
      </c>
      <c r="U69" s="86">
        <v>0</v>
      </c>
      <c r="V69" s="86">
        <v>0</v>
      </c>
      <c r="W69" s="97">
        <v>0</v>
      </c>
      <c r="X69" s="112">
        <f t="shared" si="58"/>
        <v>0</v>
      </c>
      <c r="Y69" s="126">
        <f t="shared" si="30"/>
        <v>0</v>
      </c>
      <c r="Z69" s="126">
        <f t="shared" si="31"/>
        <v>0</v>
      </c>
      <c r="AA69" s="126">
        <f t="shared" si="32"/>
        <v>0</v>
      </c>
      <c r="AB69" s="126">
        <f t="shared" si="33"/>
        <v>0</v>
      </c>
      <c r="AC69" s="126">
        <f t="shared" si="34"/>
        <v>0</v>
      </c>
      <c r="AD69" s="126">
        <f t="shared" si="35"/>
        <v>0</v>
      </c>
      <c r="AE69" s="126">
        <f t="shared" si="36"/>
        <v>0</v>
      </c>
      <c r="AF69" s="126">
        <f t="shared" si="37"/>
        <v>0</v>
      </c>
      <c r="AG69" s="126">
        <f t="shared" si="38"/>
        <v>0</v>
      </c>
      <c r="AH69" s="126">
        <f t="shared" si="39"/>
        <v>0</v>
      </c>
      <c r="AI69" s="126">
        <f t="shared" si="40"/>
        <v>0</v>
      </c>
      <c r="AJ69" s="128">
        <f t="shared" si="41"/>
        <v>0</v>
      </c>
      <c r="AK69" s="129">
        <f t="shared" si="55"/>
        <v>0</v>
      </c>
    </row>
    <row r="70" spans="1:37">
      <c r="A70" s="138" t="s">
        <v>149</v>
      </c>
      <c r="B70" s="92">
        <f t="shared" ref="B70:J70" si="61">B65-B68</f>
        <v>0</v>
      </c>
      <c r="C70" s="92">
        <f t="shared" si="61"/>
        <v>0</v>
      </c>
      <c r="D70" s="92">
        <f t="shared" si="61"/>
        <v>0</v>
      </c>
      <c r="E70" s="92">
        <f t="shared" si="61"/>
        <v>0</v>
      </c>
      <c r="F70" s="92">
        <f t="shared" si="61"/>
        <v>0</v>
      </c>
      <c r="G70" s="92">
        <f t="shared" si="61"/>
        <v>0</v>
      </c>
      <c r="H70" s="92">
        <f t="shared" si="61"/>
        <v>0</v>
      </c>
      <c r="I70" s="92">
        <f t="shared" si="61"/>
        <v>0</v>
      </c>
      <c r="J70" s="101">
        <f t="shared" si="61"/>
        <v>0</v>
      </c>
      <c r="K70" s="115">
        <f>SUM(B70:J70)</f>
        <v>0</v>
      </c>
      <c r="L70" s="107">
        <f t="shared" ref="L70:W70" si="62">L65-L68</f>
        <v>0</v>
      </c>
      <c r="M70" s="92">
        <f t="shared" si="62"/>
        <v>0</v>
      </c>
      <c r="N70" s="92">
        <f t="shared" si="62"/>
        <v>0</v>
      </c>
      <c r="O70" s="92">
        <f t="shared" si="62"/>
        <v>0</v>
      </c>
      <c r="P70" s="92">
        <f t="shared" si="62"/>
        <v>0</v>
      </c>
      <c r="Q70" s="92">
        <f t="shared" si="62"/>
        <v>0</v>
      </c>
      <c r="R70" s="92">
        <f t="shared" si="62"/>
        <v>0</v>
      </c>
      <c r="S70" s="92">
        <f t="shared" si="62"/>
        <v>0</v>
      </c>
      <c r="T70" s="92">
        <f t="shared" si="62"/>
        <v>0</v>
      </c>
      <c r="U70" s="92">
        <f t="shared" si="62"/>
        <v>0</v>
      </c>
      <c r="V70" s="92">
        <f t="shared" si="62"/>
        <v>0</v>
      </c>
      <c r="W70" s="101">
        <f t="shared" si="62"/>
        <v>0</v>
      </c>
      <c r="X70" s="115">
        <f t="shared" si="58"/>
        <v>0</v>
      </c>
      <c r="Y70" s="109">
        <f t="shared" si="30"/>
        <v>0</v>
      </c>
      <c r="Z70" s="109">
        <f t="shared" si="31"/>
        <v>0</v>
      </c>
      <c r="AA70" s="109">
        <f t="shared" si="32"/>
        <v>0</v>
      </c>
      <c r="AB70" s="109">
        <f t="shared" si="33"/>
        <v>0</v>
      </c>
      <c r="AC70" s="109">
        <f t="shared" si="34"/>
        <v>0</v>
      </c>
      <c r="AD70" s="109">
        <f t="shared" si="35"/>
        <v>0</v>
      </c>
      <c r="AE70" s="109">
        <f t="shared" si="36"/>
        <v>0</v>
      </c>
      <c r="AF70" s="109">
        <f t="shared" si="37"/>
        <v>0</v>
      </c>
      <c r="AG70" s="109">
        <f t="shared" si="38"/>
        <v>0</v>
      </c>
      <c r="AH70" s="109">
        <f t="shared" si="39"/>
        <v>0</v>
      </c>
      <c r="AI70" s="109">
        <f t="shared" si="40"/>
        <v>0</v>
      </c>
      <c r="AJ70" s="127">
        <f t="shared" si="41"/>
        <v>0</v>
      </c>
      <c r="AK70" s="118">
        <f t="shared" si="55"/>
        <v>0</v>
      </c>
    </row>
    <row r="71" spans="1:37" ht="15.75" thickBot="1">
      <c r="A71" s="141" t="s">
        <v>150</v>
      </c>
      <c r="B71" s="142">
        <f t="shared" ref="B71:J71" si="63">B49+B59+B64+B70</f>
        <v>139905.81</v>
      </c>
      <c r="C71" s="142">
        <f t="shared" si="63"/>
        <v>126272.36</v>
      </c>
      <c r="D71" s="142">
        <f t="shared" si="63"/>
        <v>113355.36</v>
      </c>
      <c r="E71" s="142">
        <f t="shared" si="63"/>
        <v>94465.86</v>
      </c>
      <c r="F71" s="142">
        <f t="shared" si="63"/>
        <v>74664.959999999992</v>
      </c>
      <c r="G71" s="142">
        <f t="shared" si="63"/>
        <v>47510.55999999999</v>
      </c>
      <c r="H71" s="142">
        <f>H49+H59+H64+H70</f>
        <v>-1.4551915228366852E-11</v>
      </c>
      <c r="I71" s="142">
        <f t="shared" si="63"/>
        <v>203693.2</v>
      </c>
      <c r="J71" s="143">
        <f t="shared" si="63"/>
        <v>169094.14</v>
      </c>
      <c r="K71" s="202">
        <f>K59+K64+K70</f>
        <v>169094.14</v>
      </c>
      <c r="L71" s="144">
        <f t="shared" ref="L71:X71" si="64">L49+L59+L64+L70</f>
        <v>259414.68</v>
      </c>
      <c r="M71" s="145">
        <f t="shared" si="64"/>
        <v>349910.6</v>
      </c>
      <c r="N71" s="142">
        <f t="shared" si="64"/>
        <v>334699.19</v>
      </c>
      <c r="O71" s="142">
        <f t="shared" si="64"/>
        <v>318052.39</v>
      </c>
      <c r="P71" s="142">
        <f t="shared" si="64"/>
        <v>294677.44</v>
      </c>
      <c r="Q71" s="142">
        <f t="shared" si="64"/>
        <v>275305.44</v>
      </c>
      <c r="R71" s="142">
        <f t="shared" si="64"/>
        <v>245133.74</v>
      </c>
      <c r="S71" s="142">
        <f t="shared" si="64"/>
        <v>450388.83999999997</v>
      </c>
      <c r="T71" s="142">
        <f t="shared" si="64"/>
        <v>424112.04</v>
      </c>
      <c r="U71" s="142">
        <f t="shared" si="64"/>
        <v>377601.48</v>
      </c>
      <c r="V71" s="142">
        <f t="shared" si="64"/>
        <v>582294.67999999993</v>
      </c>
      <c r="W71" s="143">
        <f t="shared" si="64"/>
        <v>548695.61999999988</v>
      </c>
      <c r="X71" s="202">
        <f t="shared" si="64"/>
        <v>548695.62</v>
      </c>
      <c r="Y71" s="146">
        <f t="shared" ref="Y71:AK71" si="65">Y49+Y59+Y64+Y70</f>
        <v>639016.15999999992</v>
      </c>
      <c r="Z71" s="146">
        <f t="shared" si="65"/>
        <v>729512.08</v>
      </c>
      <c r="AA71" s="146">
        <f t="shared" si="65"/>
        <v>714300.66999999993</v>
      </c>
      <c r="AB71" s="146">
        <f t="shared" si="65"/>
        <v>697653.86999999988</v>
      </c>
      <c r="AC71" s="146">
        <f t="shared" si="65"/>
        <v>674278.91999999993</v>
      </c>
      <c r="AD71" s="146">
        <f t="shared" si="65"/>
        <v>654906.91999999993</v>
      </c>
      <c r="AE71" s="146">
        <f t="shared" si="65"/>
        <v>624735.22</v>
      </c>
      <c r="AF71" s="146">
        <f t="shared" si="65"/>
        <v>829990.32</v>
      </c>
      <c r="AG71" s="146">
        <f t="shared" si="65"/>
        <v>803713.5199999999</v>
      </c>
      <c r="AH71" s="146">
        <f t="shared" si="65"/>
        <v>757202.95999999985</v>
      </c>
      <c r="AI71" s="146">
        <f t="shared" si="65"/>
        <v>961896.15999999992</v>
      </c>
      <c r="AJ71" s="147">
        <f t="shared" si="65"/>
        <v>928297.09999999986</v>
      </c>
      <c r="AK71" s="202">
        <f t="shared" si="65"/>
        <v>928297.10000000009</v>
      </c>
    </row>
    <row r="72" spans="1:37" ht="15.75" thickBot="1">
      <c r="Y72" t="s">
        <v>177</v>
      </c>
      <c r="Z72">
        <v>0.73973999999999995</v>
      </c>
    </row>
    <row r="73" spans="1:37" ht="15.75" thickBot="1">
      <c r="A73" s="219" t="s">
        <v>180</v>
      </c>
      <c r="B73" s="220"/>
      <c r="C73" s="221"/>
      <c r="D73" s="222"/>
      <c r="F73" s="263" t="s">
        <v>171</v>
      </c>
      <c r="G73" s="264"/>
      <c r="H73" s="204">
        <f>L19</f>
        <v>-476933.61</v>
      </c>
    </row>
    <row r="74" spans="1:37">
      <c r="A74" s="165" t="s">
        <v>178</v>
      </c>
      <c r="B74" s="180"/>
      <c r="C74" s="181" t="s">
        <v>179</v>
      </c>
      <c r="D74" s="182"/>
      <c r="F74" s="265" t="s">
        <v>172</v>
      </c>
      <c r="G74" s="266"/>
      <c r="H74" s="205">
        <f>K71</f>
        <v>169094.14</v>
      </c>
      <c r="L74" s="158"/>
    </row>
    <row r="75" spans="1:37">
      <c r="A75" s="164" t="s">
        <v>159</v>
      </c>
      <c r="B75" s="171"/>
      <c r="C75" s="166">
        <f>K24+X24+AK24</f>
        <v>1617000</v>
      </c>
      <c r="D75" s="172"/>
      <c r="F75" s="265" t="s">
        <v>173</v>
      </c>
      <c r="G75" s="266"/>
      <c r="H75" s="205">
        <f>X71-K71</f>
        <v>379601.48</v>
      </c>
    </row>
    <row r="76" spans="1:37" ht="15.75" thickBot="1">
      <c r="A76" s="164" t="s">
        <v>160</v>
      </c>
      <c r="B76" s="173"/>
      <c r="C76" s="169">
        <f>AK42</f>
        <v>771563.49000000011</v>
      </c>
      <c r="D76" s="172"/>
      <c r="F76" s="267" t="s">
        <v>174</v>
      </c>
      <c r="G76" s="268"/>
      <c r="H76" s="206">
        <f>AK71-X71</f>
        <v>379601.4800000001</v>
      </c>
    </row>
    <row r="77" spans="1:37">
      <c r="A77" s="164" t="s">
        <v>165</v>
      </c>
      <c r="B77" s="269">
        <f>C76/C75</f>
        <v>0.47715738404452696</v>
      </c>
      <c r="C77" s="270"/>
      <c r="D77" s="271"/>
      <c r="F77" s="183" t="s">
        <v>175</v>
      </c>
      <c r="G77" s="5"/>
      <c r="H77" s="6"/>
    </row>
    <row r="78" spans="1:37">
      <c r="A78" s="164" t="s">
        <v>157</v>
      </c>
      <c r="B78" s="272">
        <v>0.15</v>
      </c>
      <c r="C78" s="273"/>
      <c r="D78" s="274"/>
      <c r="F78" s="185" t="s">
        <v>185</v>
      </c>
      <c r="G78" s="88" t="s">
        <v>186</v>
      </c>
      <c r="H78" s="134"/>
    </row>
    <row r="79" spans="1:37">
      <c r="A79" s="164" t="s">
        <v>170</v>
      </c>
      <c r="B79" s="173"/>
      <c r="C79" s="167">
        <f>AK71</f>
        <v>928297.10000000009</v>
      </c>
      <c r="D79" s="172"/>
      <c r="F79" s="133">
        <v>0</v>
      </c>
      <c r="G79" s="184">
        <v>42005</v>
      </c>
      <c r="H79" s="134"/>
    </row>
    <row r="80" spans="1:37">
      <c r="A80" s="164" t="s">
        <v>181</v>
      </c>
      <c r="B80" s="173"/>
      <c r="C80" s="170">
        <f>H74*H80+H75*H81+H76*H82</f>
        <v>683665.77276239032</v>
      </c>
      <c r="D80" s="172"/>
      <c r="F80" s="133">
        <v>1</v>
      </c>
      <c r="G80" s="184">
        <v>42370</v>
      </c>
      <c r="H80" s="186">
        <f>IF(1/(1+$B$78)^(G80-$G$79),1/(1+$B$78)^F80)</f>
        <v>0.86956521739130443</v>
      </c>
    </row>
    <row r="81" spans="1:8">
      <c r="A81" s="164" t="s">
        <v>176</v>
      </c>
      <c r="B81" s="275">
        <v>22</v>
      </c>
      <c r="C81" s="276"/>
      <c r="D81" s="277"/>
      <c r="F81" s="133">
        <v>2</v>
      </c>
      <c r="G81" s="184">
        <v>42736</v>
      </c>
      <c r="H81" s="186">
        <f t="shared" ref="H81:H82" si="66">IF(1/(1+$B$78)^(G81-$G$79),1/(1+$B$78)^F81)</f>
        <v>0.7561436672967865</v>
      </c>
    </row>
    <row r="82" spans="1:8" ht="15.75" thickBot="1">
      <c r="A82" s="164" t="s">
        <v>158</v>
      </c>
      <c r="B82" s="278">
        <v>25</v>
      </c>
      <c r="C82" s="273"/>
      <c r="D82" s="274"/>
      <c r="F82" s="135">
        <v>3</v>
      </c>
      <c r="G82" s="187">
        <v>43101</v>
      </c>
      <c r="H82" s="188">
        <f t="shared" si="66"/>
        <v>0.65751623243198831</v>
      </c>
    </row>
    <row r="83" spans="1:8">
      <c r="A83" s="164" t="s">
        <v>161</v>
      </c>
      <c r="B83" s="279">
        <f>NPV($B$78,H74,H75,H76)+H73</f>
        <v>206732.16276239022</v>
      </c>
      <c r="C83" s="280"/>
      <c r="D83" s="281"/>
      <c r="F83" s="158"/>
      <c r="H83" s="176"/>
    </row>
    <row r="84" spans="1:8" ht="15.75" thickBot="1">
      <c r="A84" s="168" t="s">
        <v>162</v>
      </c>
      <c r="B84" s="260">
        <f>IRR(H73:H76,C78)</f>
        <v>0.3649077371342197</v>
      </c>
      <c r="C84" s="261"/>
      <c r="D84" s="262"/>
    </row>
    <row r="86" spans="1:8" ht="15.75" thickBot="1"/>
    <row r="87" spans="1:8">
      <c r="A87" s="225" t="s">
        <v>163</v>
      </c>
      <c r="B87" s="223"/>
      <c r="C87" s="223"/>
      <c r="D87" s="223"/>
      <c r="E87" s="224"/>
    </row>
    <row r="88" spans="1:8">
      <c r="A88" s="226" t="s">
        <v>164</v>
      </c>
      <c r="B88" s="130">
        <v>0.05</v>
      </c>
      <c r="C88" s="130">
        <v>0.1</v>
      </c>
      <c r="D88" s="130">
        <v>0.15</v>
      </c>
      <c r="E88" s="191">
        <v>0.2</v>
      </c>
    </row>
    <row r="89" spans="1:8">
      <c r="A89" s="133" t="s">
        <v>166</v>
      </c>
      <c r="B89" s="88">
        <v>1536150</v>
      </c>
      <c r="C89" s="88">
        <v>1455300</v>
      </c>
      <c r="D89" s="88">
        <v>1374450</v>
      </c>
      <c r="E89" s="134">
        <v>1293600</v>
      </c>
    </row>
    <row r="90" spans="1:8">
      <c r="A90" s="133" t="s">
        <v>167</v>
      </c>
      <c r="B90" s="88">
        <v>690713</v>
      </c>
      <c r="C90" s="88">
        <v>609863</v>
      </c>
      <c r="D90" s="88">
        <v>529013</v>
      </c>
      <c r="E90" s="88">
        <v>448163</v>
      </c>
    </row>
    <row r="91" spans="1:8">
      <c r="A91" s="133" t="s">
        <v>182</v>
      </c>
      <c r="B91" s="88">
        <v>23</v>
      </c>
      <c r="C91" s="88">
        <v>24</v>
      </c>
      <c r="D91" s="88">
        <v>25</v>
      </c>
      <c r="E91" s="192">
        <v>32</v>
      </c>
    </row>
    <row r="92" spans="1:8">
      <c r="A92" s="133" t="s">
        <v>168</v>
      </c>
      <c r="B92" s="194">
        <v>45</v>
      </c>
      <c r="C92" s="88">
        <v>42</v>
      </c>
      <c r="D92" s="88">
        <v>38</v>
      </c>
      <c r="E92" s="192">
        <v>35</v>
      </c>
    </row>
    <row r="93" spans="1:8">
      <c r="A93" s="133" t="s">
        <v>161</v>
      </c>
      <c r="B93" s="174">
        <v>147705</v>
      </c>
      <c r="C93" s="174">
        <v>88679</v>
      </c>
      <c r="D93" s="174">
        <v>29652</v>
      </c>
      <c r="E93" s="174">
        <v>-29375</v>
      </c>
    </row>
    <row r="94" spans="1:8" ht="15.75" thickBot="1">
      <c r="A94" s="135" t="s">
        <v>162</v>
      </c>
      <c r="B94" s="175">
        <v>31</v>
      </c>
      <c r="C94" s="175">
        <v>25</v>
      </c>
      <c r="D94" s="175">
        <v>18</v>
      </c>
      <c r="E94" s="175">
        <v>12</v>
      </c>
    </row>
    <row r="95" spans="1:8" s="5" customFormat="1" ht="15.75" thickBot="1"/>
    <row r="96" spans="1:8">
      <c r="A96" s="227" t="s">
        <v>183</v>
      </c>
      <c r="B96" s="195">
        <v>0.05</v>
      </c>
      <c r="C96" s="195">
        <v>0.1</v>
      </c>
      <c r="D96" s="195">
        <v>0.15</v>
      </c>
      <c r="E96" s="196">
        <v>0.2</v>
      </c>
      <c r="F96" s="195">
        <v>0.3</v>
      </c>
      <c r="G96" s="195">
        <v>0.5</v>
      </c>
      <c r="H96" s="197">
        <v>0.7</v>
      </c>
    </row>
    <row r="97" spans="1:8">
      <c r="A97" s="133" t="s">
        <v>169</v>
      </c>
      <c r="B97" s="88">
        <v>1617000</v>
      </c>
      <c r="C97" s="88">
        <v>1617000</v>
      </c>
      <c r="D97" s="88">
        <v>1617000</v>
      </c>
      <c r="E97" s="189">
        <v>1617000</v>
      </c>
      <c r="F97" s="88">
        <v>1617000</v>
      </c>
      <c r="G97" s="189">
        <v>1617000</v>
      </c>
      <c r="H97" s="134">
        <v>1617000</v>
      </c>
    </row>
    <row r="98" spans="1:8">
      <c r="A98" s="133" t="s">
        <v>167</v>
      </c>
      <c r="B98" s="88">
        <v>748886</v>
      </c>
      <c r="C98" s="88">
        <v>726209</v>
      </c>
      <c r="D98" s="88">
        <v>703532</v>
      </c>
      <c r="E98" s="88">
        <v>680854</v>
      </c>
      <c r="F98" s="189">
        <v>635499</v>
      </c>
      <c r="G98" s="189">
        <v>544790</v>
      </c>
      <c r="H98" s="192">
        <v>454081</v>
      </c>
    </row>
    <row r="99" spans="1:8">
      <c r="A99" s="133" t="s">
        <v>184</v>
      </c>
      <c r="B99" s="88">
        <v>22</v>
      </c>
      <c r="C99" s="88">
        <v>22</v>
      </c>
      <c r="D99" s="88">
        <v>24</v>
      </c>
      <c r="E99" s="189">
        <v>26</v>
      </c>
      <c r="F99" s="189">
        <v>30</v>
      </c>
      <c r="G99" s="189">
        <v>31.5</v>
      </c>
      <c r="H99" s="198" t="s">
        <v>187</v>
      </c>
    </row>
    <row r="100" spans="1:8">
      <c r="A100" s="133" t="s">
        <v>168</v>
      </c>
      <c r="B100" s="88">
        <v>46</v>
      </c>
      <c r="C100" s="88">
        <v>45</v>
      </c>
      <c r="D100" s="88">
        <v>44</v>
      </c>
      <c r="E100" s="189">
        <v>42</v>
      </c>
      <c r="F100" s="194">
        <v>39</v>
      </c>
      <c r="G100" s="194">
        <v>34</v>
      </c>
      <c r="H100" s="199">
        <v>28</v>
      </c>
    </row>
    <row r="101" spans="1:8">
      <c r="A101" s="133" t="s">
        <v>161</v>
      </c>
      <c r="B101" s="174">
        <v>189362</v>
      </c>
      <c r="C101" s="174">
        <v>171992</v>
      </c>
      <c r="D101" s="174">
        <v>154622</v>
      </c>
      <c r="E101" s="174">
        <v>137251</v>
      </c>
      <c r="F101" s="190">
        <v>102510</v>
      </c>
      <c r="G101" s="190">
        <v>33029</v>
      </c>
      <c r="H101" s="193">
        <v>-36452</v>
      </c>
    </row>
    <row r="102" spans="1:8" ht="15.75" thickBot="1">
      <c r="A102" s="135" t="s">
        <v>162</v>
      </c>
      <c r="B102" s="216">
        <v>35</v>
      </c>
      <c r="C102" s="216">
        <v>33</v>
      </c>
      <c r="D102" s="216">
        <v>31</v>
      </c>
      <c r="E102" s="216">
        <v>29</v>
      </c>
      <c r="F102" s="217">
        <v>26</v>
      </c>
      <c r="G102" s="217">
        <v>18</v>
      </c>
      <c r="H102" s="218">
        <v>11</v>
      </c>
    </row>
  </sheetData>
  <mergeCells count="10">
    <mergeCell ref="B84:D84"/>
    <mergeCell ref="F73:G73"/>
    <mergeCell ref="F74:G74"/>
    <mergeCell ref="F75:G75"/>
    <mergeCell ref="F76:G76"/>
    <mergeCell ref="B77:D77"/>
    <mergeCell ref="B78:D78"/>
    <mergeCell ref="B81:D81"/>
    <mergeCell ref="B82:D82"/>
    <mergeCell ref="B83:D8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Компания Баррус</dc:creator>
  <cp:lastModifiedBy>slava</cp:lastModifiedBy>
  <dcterms:created xsi:type="dcterms:W3CDTF">2015-10-27T05:29:32Z</dcterms:created>
  <dcterms:modified xsi:type="dcterms:W3CDTF">2016-07-28T06:05:40Z</dcterms:modified>
</cp:coreProperties>
</file>